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OTNd18G5jWBIH/AqaNG/wWkC/HLbwJEj5dvbg1PHIWcrKTxV70yIAW7CWV/dUu3ujH/O1VIINIgrEEeIx2rkUw==" workbookSaltValue="m8ge8bKt2oC5cr0N/5XG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D16" i="2"/>
  <c r="ES19" i="8"/>
  <c r="AC19" i="8"/>
  <c r="BH19" i="13"/>
  <c r="EP19" i="8"/>
  <c r="EP19" i="19"/>
  <c r="AT17" i="20"/>
  <c r="T13" i="12"/>
  <c r="T13" i="16"/>
  <c r="T13" i="20"/>
  <c r="BB13" i="13"/>
  <c r="BF9" i="8"/>
  <c r="J18" i="17"/>
  <c r="BG15" i="13"/>
  <c r="BA18" i="13"/>
  <c r="BE15" i="13"/>
  <c r="AH20" i="20"/>
  <c r="AL20" i="20"/>
  <c r="AB20" i="20"/>
  <c r="U10" i="11"/>
  <c r="AO20" i="20"/>
  <c r="AN20" i="20"/>
  <c r="Y20" i="20"/>
  <c r="AJ19" i="8" l="1"/>
  <c r="R19" i="8"/>
  <c r="T19" i="8"/>
  <c r="BD12" i="8"/>
  <c r="H13" i="12"/>
  <c r="H12" i="7"/>
  <c r="AL12" i="11"/>
  <c r="AC10" i="11"/>
  <c r="D10" i="6"/>
  <c r="BE10" i="8"/>
  <c r="AL9" i="11"/>
  <c r="C17" i="6"/>
  <c r="M13" i="2"/>
  <c r="N13" i="2"/>
  <c r="K18" i="2"/>
  <c r="E12" i="6"/>
  <c r="AO12" i="11"/>
  <c r="B10" i="6"/>
  <c r="H12" i="2"/>
  <c r="AY13" i="8"/>
  <c r="BG15" i="8"/>
  <c r="K15" i="7" s="1"/>
  <c r="BD16" i="8"/>
  <c r="L9" i="14"/>
  <c r="C10" i="6"/>
  <c r="AO17" i="11"/>
  <c r="L16" i="14"/>
  <c r="L17" i="14"/>
  <c r="AY13" i="13"/>
  <c r="F15" i="17"/>
  <c r="AQ15" i="17" s="1"/>
  <c r="L12" i="14"/>
  <c r="BA13" i="13"/>
  <c r="R8" i="9"/>
  <c r="R17" i="14" s="1"/>
  <c r="AA16" i="16"/>
  <c r="X12" i="17"/>
  <c r="X17" i="17"/>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K18" i="11"/>
  <c r="E9" i="6"/>
  <c r="K9" i="12" s="1"/>
  <c r="I9" i="7"/>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S10" i="14"/>
  <c r="V10" i="14" s="1"/>
  <c r="AA17" i="16"/>
  <c r="AA10" i="16"/>
  <c r="S11" i="14"/>
  <c r="V11" i="14" s="1"/>
  <c r="T11" i="11"/>
  <c r="S16" i="14"/>
  <c r="V16" i="14" s="1"/>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T9" i="11"/>
  <c r="BH11" i="16"/>
  <c r="BH17" i="16"/>
  <c r="BM16" i="11"/>
  <c r="BL17" i="11"/>
  <c r="BF10" i="11"/>
  <c r="V11" i="11"/>
  <c r="Q10" i="21"/>
  <c r="BJ11" i="11"/>
  <c r="BI17" i="11"/>
  <c r="BL11" i="11"/>
  <c r="BM15" i="11"/>
  <c r="T15" i="16"/>
  <c r="BV17" i="16"/>
  <c r="BV12" i="16"/>
  <c r="BV11" i="16"/>
  <c r="U10" i="17"/>
  <c r="V12" i="16"/>
  <c r="BG12" i="11"/>
  <c r="BH10" i="11"/>
  <c r="AQ10" i="21"/>
  <c r="BK16" i="11"/>
  <c r="BG16" i="11"/>
  <c r="AQ12" i="21"/>
  <c r="BL16" i="11"/>
  <c r="U9" i="17"/>
  <c r="U19" i="17" s="1"/>
  <c r="BF11" i="11"/>
  <c r="BG10" i="11"/>
  <c r="P17" i="17"/>
  <c r="BK12" i="11"/>
  <c r="BK15" i="11"/>
  <c r="V9" i="11"/>
  <c r="BG9" i="11"/>
  <c r="T17" i="16"/>
  <c r="BU10" i="17"/>
  <c r="BW11" i="20"/>
  <c r="BW10" i="20"/>
  <c r="AZ12" i="11"/>
  <c r="BH11" i="11"/>
  <c r="BJ16" i="11"/>
  <c r="L16" i="2"/>
  <c r="BL9" i="11"/>
  <c r="Q9" i="11" s="1"/>
  <c r="BK9" i="11"/>
  <c r="BI10" i="11"/>
  <c r="R10" i="21"/>
  <c r="BH17" i="11"/>
  <c r="BU11" i="17"/>
  <c r="BW12" i="20"/>
  <c r="BU12" i="17"/>
  <c r="Q17" i="17"/>
  <c r="BI9" i="11"/>
  <c r="BJ10" i="11"/>
  <c r="BH16" i="11"/>
  <c r="L9" i="2"/>
  <c r="T12" i="11"/>
  <c r="R11" i="14"/>
  <c r="S12" i="14"/>
  <c r="V12"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P12"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W21" i="20"/>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H18" i="11"/>
  <c r="T18" i="16"/>
  <c r="T19" i="16" s="1"/>
  <c r="BK18" i="11"/>
  <c r="P18" i="17"/>
  <c r="P19" i="17" s="1"/>
  <c r="BV13" i="16"/>
  <c r="BV18" i="16"/>
  <c r="P16" i="11"/>
  <c r="BH13" i="11"/>
  <c r="P9" i="11"/>
  <c r="R13" i="21"/>
  <c r="R19" i="21"/>
  <c r="AZ19" i="11"/>
  <c r="AZ13" i="1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<sst xmlns="http://schemas.openxmlformats.org/spreadsheetml/2006/main" count="2102" uniqueCount="917">
  <si>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</si>
  <si>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</si>
  <si>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</si>
  <si>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</si>
  <si>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</si>
  <si>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</si>
  <si>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</si>
  <si>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</si>
  <si>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</si>
  <si>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</si>
  <si>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</si>
  <si>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</si>
  <si>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</si>
  <si>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</si>
  <si>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</si>
  <si>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</si>
  <si>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</si>
  <si>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</si>
  <si>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</si>
  <si>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</si>
  <si>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</si>
  <si>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</si>
  <si>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</si>
  <si>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</si>
  <si>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</si>
  <si>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</si>
  <si>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</si>
  <si>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</si>
  <si>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</si>
  <si>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</si>
  <si>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</si>
  <si>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</si>
  <si>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</si>
  <si>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</si>
  <si>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</si>
  <si>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</si>
  <si>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</si>
  <si>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</si>
  <si>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</si>
  <si>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</si>
  <si>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</si>
  <si>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</si>
  <si>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</si>
  <si>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</si>
  <si>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</si>
  <si>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</si>
  <si>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</si>
  <si>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</si>
  <si>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</si>
  <si>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</si>
  <si>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</si>
  <si>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</si>
  <si>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</si>
  <si>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</si>
  <si>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</si>
  <si>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</si>
  <si>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</si>
  <si>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</si>
  <si>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</si>
  <si>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</si>
  <si>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</si>
  <si>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</si>
  <si>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</si>
  <si>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</si>
  <si>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</si>
  <si>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</si>
  <si>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</si>
  <si>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</si>
  <si>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</si>
  <si>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</si>
  <si>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</si>
  <si>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</si>
  <si>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</si>
  <si>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</si>
  <si>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</si>
  <si>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</si>
  <si>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</si>
  <si>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</si>
  <si>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</si>
  <si>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</si>
  <si>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</si>
  <si>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</si>
  <si>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</si>
  <si>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</si>
  <si>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</si>
  <si>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</si>
  <si>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</si>
  <si>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</si>
  <si>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</si>
  <si>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</si>
  <si>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</si>
  <si>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</si>
  <si>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</si>
  <si>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</si>
  <si>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</si>
  <si>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</si>
  <si>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</si>
  <si>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</si>
  <si>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</si>
  <si>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</si>
  <si>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</si>
  <si>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</si>
  <si>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</si>
  <si>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</si>
  <si>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</si>
  <si>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</si>
  <si>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</si>
  <si>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</si>
  <si>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</si>
  <si>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</si>
  <si>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</si>
  <si>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</si>
  <si>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</si>
  <si>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</si>
  <si>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</si>
  <si>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</si>
  <si>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</si>
  <si>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</si>
  <si>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</si>
  <si>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</si>
  <si>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</si>
  <si>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</si>
  <si>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</si>
  <si>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</si>
  <si>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</si>
  <si>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</si>
  <si>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</si>
  <si>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</si>
  <si>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</si>
  <si>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</si>
  <si>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</si>
  <si>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</si>
  <si>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</si>
  <si>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</si>
  <si>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</si>
  <si>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</si>
  <si>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</si>
  <si>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</si>
  <si>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</si>
  <si>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</si>
  <si>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</si>
  <si>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</si>
  <si>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</si>
  <si>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</si>
  <si>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</si>
  <si>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</si>
  <si>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</si>
  <si>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</si>
  <si>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</si>
  <si>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</si>
  <si>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</si>
  <si>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</si>
  <si>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</si>
  <si>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</si>
  <si>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</si>
  <si>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</si>
  <si>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</si>
  <si>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</si>
  <si>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</si>
  <si>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</si>
  <si>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</si>
  <si>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</si>
  <si>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</si>
  <si>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</si>
  <si>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</si>
  <si>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</si>
  <si>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</si>
  <si>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</si>
  <si>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</si>
  <si>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</si>
  <si>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</si>
  <si>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</si>
  <si>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</si>
  <si>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</si>
  <si>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</si>
  <si>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</si>
  <si>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</si>
  <si>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</si>
  <si>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</si>
  <si>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</si>
  <si>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</si>
  <si>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</si>
  <si>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</si>
  <si>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</si>
  <si>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</si>
  <si>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</si>
  <si>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</si>
  <si>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</si>
  <si>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</si>
  <si>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</si>
  <si>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</si>
  <si>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</si>
  <si>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</si>
  <si>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</si>
  <si>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</si>
  <si>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</si>
  <si>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</si>
  <si>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</si>
  <si>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</si>
  <si>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</si>
  <si>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</si>
  <si>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</si>
  <si>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</si>
  <si>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</si>
  <si>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</si>
  <si>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</si>
  <si>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</si>
  <si>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</si>
  <si>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</si>
  <si>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</si>
  <si>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</si>
  <si>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</si>
  <si>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</si>
  <si>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</si>
  <si>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</si>
  <si>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</si>
  <si>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</si>
  <si>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</si>
  <si>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</si>
  <si>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</si>
  <si>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</si>
  <si>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</si>
  <si>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</si>
  <si>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</si>
  <si>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</si>
  <si>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</si>
  <si>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</si>
  <si>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</si>
  <si>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</si>
  <si>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</si>
  <si>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</si>
  <si>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</si>
  <si>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</si>
  <si>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</si>
  <si>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</si>
  <si>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</si>
  <si>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</si>
  <si>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</si>
  <si>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</si>
  <si>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</si>
  <si>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</si>
  <si>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</si>
  <si>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</si>
  <si>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</si>
  <si>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</si>
  <si>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</si>
  <si>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</si>
  <si>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</si>
  <si>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</si>
  <si>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</si>
  <si>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</si>
  <si>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</si>
  <si>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</si>
  <si>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</si>
  <si>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</si>
  <si>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</si>
  <si>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</si>
  <si>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</si>
  <si>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</si>
  <si>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</si>
  <si>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</si>
  <si>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</si>
  <si>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</si>
  <si>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</si>
  <si>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</si>
  <si>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</si>
  <si>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</si>
  <si>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</si>
  <si>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</si>
  <si>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</si>
  <si>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</si>
  <si>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</si>
  <si>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</si>
  <si>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</si>
  <si>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</si>
  <si>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</si>
  <si>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</si>
  <si>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</si>
  <si>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</si>
  <si>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</si>
  <si>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</si>
  <si>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</si>
  <si>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</si>
  <si>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</si>
  <si>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</si>
  <si>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</si>
  <si>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</si>
  <si>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</si>
  <si>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</si>
  <si>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</si>
  <si>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</si>
  <si>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</si>
  <si>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</si>
  <si>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</si>
  <si>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</si>
  <si>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</si>
  <si>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</si>
  <si>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</si>
  <si>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</si>
  <si>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</si>
  <si>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</si>
  <si>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</si>
  <si>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</si>
  <si>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</si>
  <si>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</si>
  <si>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</si>
  <si>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</si>
  <si>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</si>
  <si>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</si>
  <si>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</si>
  <si>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</si>
  <si>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</si>
  <si>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</si>
  <si>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</si>
  <si>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</si>
  <si>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</si>
  <si>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</si>
  <si>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</si>
  <si>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</si>
  <si>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</si>
  <si>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</si>
  <si>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</si>
  <si>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</si>
  <si>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</si>
  <si>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</si>
  <si>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</si>
  <si>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</si>
  <si>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</si>
  <si>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</si>
  <si>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</si>
  <si>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</si>
  <si>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</si>
  <si>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</si>
  <si>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</si>
  <si>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</si>
  <si>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</si>
  <si>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</si>
  <si>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</si>
  <si>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</si>
  <si>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</si>
  <si>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</si>
  <si>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</si>
  <si>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</si>
  <si>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</si>
  <si>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</si>
  <si>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</si>
  <si>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</si>
  <si>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</si>
  <si>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</si>
  <si>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</si>
  <si>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</si>
  <si>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</si>
  <si>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</si>
  <si>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</si>
  <si>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</si>
  <si>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</si>
  <si>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</si>
  <si>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</si>
  <si>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</si>
  <si>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</si>
  <si>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</si>
  <si>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</si>
  <si>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</si>
  <si>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</si>
  <si>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</si>
  <si>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</si>
  <si>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</si>
  <si>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</si>
  <si>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</si>
  <si>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</si>
  <si>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</si>
  <si>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</si>
  <si>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</si>
  <si>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</si>
  <si>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</si>
  <si>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</si>
  <si>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</si>
  <si>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</si>
  <si>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</si>
  <si>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</si>
  <si>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</si>
  <si>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</si>
  <si>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</si>
  <si>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</si>
  <si>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</si>
  <si>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</si>
  <si>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</si>
  <si>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</si>
  <si>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</si>
  <si>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</si>
  <si>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</si>
  <si>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</si>
  <si>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</si>
  <si>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</si>
  <si>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</si>
  <si>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</si>
  <si>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</si>
  <si>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</si>
  <si>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</si>
  <si>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</si>
  <si>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</si>
  <si>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</si>
  <si>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</si>
  <si>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</si>
  <si>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</si>
  <si>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</si>
  <si>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</si>
  <si>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</si>
  <si>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</si>
  <si>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</si>
  <si>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</si>
  <si>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</si>
  <si>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</si>
  <si>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</si>
  <si>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</si>
  <si>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</si>
  <si>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</si>
  <si>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</si>
  <si>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</si>
  <si>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</si>
  <si>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</si>
  <si>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</si>
  <si>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</si>
  <si>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</si>
  <si>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</si>
  <si>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</si>
  <si>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</si>
  <si>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</si>
  <si>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</si>
  <si>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</si>
  <si>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</si>
  <si>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</si>
  <si>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</si>
  <si>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</si>
  <si>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</si>
  <si>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</si>
  <si>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</si>
  <si>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</si>
  <si>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</si>
  <si>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</si>
  <si>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</si>
  <si>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</si>
  <si>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</si>
  <si>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</si>
  <si>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</si>
  <si>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</si>
  <si>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</si>
  <si>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</si>
  <si>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</si>
  <si>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</si>
  <si>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</si>
  <si>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</si>
  <si>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</si>
  <si>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</si>
  <si>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</si>
  <si>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</si>
  <si>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</si>
  <si>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</si>
  <si>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</si>
  <si>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</si>
  <si>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</si>
  <si>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</si>
  <si>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</si>
  <si>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</si>
  <si>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</si>
  <si>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</si>
  <si>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</si>
  <si>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</si>
  <si>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</si>
  <si>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</si>
  <si>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</si>
  <si>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</si>
  <si>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</si>
  <si>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</si>
  <si>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</si>
  <si>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</si>
  <si>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</si>
  <si>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</si>
  <si>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</si>
  <si>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</si>
  <si>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</si>
  <si>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</si>
  <si>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</si>
  <si>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</si>
  <si>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</si>
  <si>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</si>
  <si>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</si>
  <si>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</si>
  <si>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</si>
  <si>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</si>
  <si>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</si>
  <si>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</si>
  <si>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</si>
  <si>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</si>
  <si>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</si>
  <si>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</si>
  <si>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</si>
  <si>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</si>
  <si>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</si>
  <si>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</si>
  <si>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</si>
  <si>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</si>
  <si>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</si>
  <si>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</si>
  <si>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</si>
  <si>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</si>
  <si>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</si>
  <si>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</si>
  <si>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</si>
  <si>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</si>
  <si>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</si>
  <si>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</si>
  <si>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</si>
  <si>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</si>
  <si>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</si>
  <si>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</si>
  <si>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</si>
  <si>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</si>
  <si>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</si>
  <si>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</si>
  <si>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</si>
  <si>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</si>
  <si>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</si>
  <si>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</si>
  <si>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</si>
  <si>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</si>
  <si>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</si>
  <si>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</si>
  <si>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</si>
  <si>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</si>
  <si>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</si>
  <si>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</si>
  <si>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</si>
  <si>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</si>
  <si>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</si>
  <si>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</si>
  <si>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</si>
  <si>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</si>
  <si>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</si>
  <si>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</si>
  <si>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</si>
  <si>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</si>
  <si>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</si>
  <si>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</si>
  <si>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</si>
  <si>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</si>
  <si>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</si>
  <si>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</si>
  <si>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</si>
  <si>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</si>
  <si>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</si>
  <si>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</si>
  <si>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</si>
  <si>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</si>
  <si>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</si>
  <si>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</si>
  <si>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</si>
  <si>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</si>
  <si>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</si>
  <si>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</si>
  <si>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</si>
  <si>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</si>
  <si>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</si>
  <si>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</si>
  <si>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</si>
  <si>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</si>
  <si>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</si>
  <si>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</si>
  <si>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</si>
  <si>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</si>
  <si>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</si>
  <si>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</si>
  <si>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</si>
  <si>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</si>
  <si>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</si>
  <si>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</si>
  <si>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</si>
  <si>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</si>
  <si>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</si>
  <si>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</si>
  <si>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</si>
  <si>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</si>
  <si>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</si>
  <si>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</si>
  <si>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</si>
  <si>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</si>
  <si>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</si>
  <si>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</si>
  <si>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</si>
  <si>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</si>
  <si>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</si>
  <si>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</si>
  <si>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</si>
  <si>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</si>
  <si>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</si>
  <si>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</si>
  <si>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</si>
  <si>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</si>
  <si>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</si>
  <si>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</si>
  <si>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</si>
  <si>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</si>
  <si>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</si>
  <si>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</si>
  <si>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</si>
  <si>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</si>
  <si>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</si>
  <si>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</si>
  <si>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</si>
  <si>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</si>
  <si>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</si>
  <si>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</si>
  <si>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</si>
  <si>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</si>
  <si>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</si>
  <si>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</si>
  <si>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</si>
  <si>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</si>
  <si>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</si>
  <si>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</si>
  <si>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</si>
  <si>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</si>
  <si>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</si>
  <si>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</si>
  <si>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</si>
  <si>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</si>
  <si>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</si>
  <si>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</si>
  <si>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</si>
  <si>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</si>
  <si>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</si>
  <si>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</si>
  <si>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</si>
  <si>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</si>
  <si>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</si>
  <si>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</si>
  <si>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</si>
  <si>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</si>
  <si>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</si>
  <si>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</si>
  <si>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</si>
  <si>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</si>
  <si>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</si>
  <si>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</si>
  <si>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</si>
  <si>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</si>
  <si>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</si>
  <si>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</si>
  <si>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</si>
  <si>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</si>
  <si>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</si>
  <si>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</si>
  <si>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</si>
  <si>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</si>
  <si>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</si>
  <si>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</si>
  <si>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</si>
  <si>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</si>
  <si>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</si>
  <si>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</si>
  <si>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</si>
  <si>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</si>
  <si>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</si>
  <si>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</si>
  <si>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</si>
  <si>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</si>
  <si>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</si>
  <si>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</si>
  <si>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</si>
  <si>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</si>
  <si>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</si>
  <si>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</si>
  <si>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</si>
  <si>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</si>
  <si>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</si>
  <si>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</si>
  <si>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</si>
  <si>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</si>
  <si>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</si>
  <si>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</si>
  <si>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</si>
  <si>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</si>
  <si>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</si>
  <si>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</si>
  <si>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</si>
  <si>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</si>
  <si>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</si>
  <si>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</si>
  <si>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</si>
  <si>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</si>
  <si>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</si>
  <si>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</si>
  <si>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</si>
  <si>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</si>
  <si>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</si>
  <si>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</si>
  <si>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</si>
  <si>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</si>
  <si>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</si>
  <si>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</si>
  <si>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</si>
  <si>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</si>
  <si>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</si>
  <si>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</si>
  <si>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</si>
  <si>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</si>
  <si>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</si>
  <si>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</si>
  <si>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</si>
  <si>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</si>
  <si>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</si>
  <si>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</si>
  <si>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</si>
  <si>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</si>
  <si>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</si>
  <si>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</si>
  <si>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</si>
  <si>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</si>
  <si>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</si>
  <si>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</si>
  <si>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</si>
  <si>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</si>
  <si>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</si>
  <si>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</si>
  <si>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</si>
  <si>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</si>
  <si>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</si>
  <si>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</si>
  <si>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</si>
  <si>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</si>
  <si>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</si>
  <si>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</si>
  <si>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</si>
  <si>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</si>
  <si>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</si>
  <si>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</si>
  <si>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</si>
  <si>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</si>
  <si>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</si>
  <si>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</si>
  <si>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</si>
  <si>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</si>
  <si>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</si>
  <si>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</si>
  <si>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</si>
  <si>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</si>
  <si>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</si>
  <si>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</si>
  <si>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</si>
  <si>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</si>
  <si>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</si>
  <si>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</si>
  <si>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</si>
  <si>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</si>
  <si>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</si>
  <si>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</si>
  <si>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</si>
  <si>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</si>
  <si>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</si>
  <si>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</si>
  <si>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</si>
  <si>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</si>
  <si>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</si>
  <si>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</si>
  <si>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</si>
  <si>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</si>
  <si>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</si>
  <si>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</si>
  <si>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</si>
  <si>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</si>
  <si>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</si>
  <si>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</si>
  <si>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</si>
  <si>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</si>
  <si>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</si>
  <si>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</si>
  <si>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</si>
  <si>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</si>
  <si>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</si>
  <si>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</si>
  <si>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</si>
  <si>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</si>
  <si>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</si>
  <si>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</si>
  <si>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</si>
  <si>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</si>
  <si>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</si>
  <si>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</si>
  <si>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</si>
  <si>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</si>
  <si>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</si>
  <si>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</si>
  <si>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</si>
  <si>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</si>
  <si>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</si>
  <si>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</si>
  <si>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</si>
  <si>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</si>
  <si>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</si>
  <si>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</si>
  <si>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</si>
  <si>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</si>
  <si>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</si>
  <si>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</si>
  <si>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</si>
  <si>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</si>
  <si>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</si>
  <si>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</si>
  <si>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</si>
  <si>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</si>
  <si>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</si>
  <si>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</si>
  <si>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</si>
  <si>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</si>
  <si>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</si>
  <si>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</si>
  <si>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</si>
  <si>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</si>
  <si>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</si>
  <si>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</si>
  <si>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</si>
  <si>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</si>
  <si>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</si>
  <si>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</si>
  <si>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</si>
  <si>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</si>
  <si>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</si>
  <si>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</si>
  <si>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</si>
  <si>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</si>
  <si>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</si>
  <si>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</si>
  <si>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</si>
  <si>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</si>
  <si>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</si>
  <si>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</si>
  <si>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</si>
  <si>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</si>
  <si>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</si>
  <si>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</si>
  <si>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</si>
  <si>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</si>
  <si>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</si>
  <si>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</si>
  <si>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</si>
  <si>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</si>
  <si>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</si>
  <si>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</si>
  <si>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</si>
  <si>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</si>
  <si>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</si>
  <si>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</si>
  <si>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</si>
  <si>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</si>
  <si>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</si>
  <si>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</si>
  <si>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</si>
  <si>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</si>
  <si>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</si>
  <si>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</si>
  <si>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</si>
  <si>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</si>
  <si>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</si>
  <si>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</si>
  <si>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</si>
  <si>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</si>
  <si>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</si>
  <si>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</si>
  <si>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</si>
  <si>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</si>
  <si>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</si>
  <si>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</si>
  <si>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</si>
  <si>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</si>
  <si>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</si>
  <si>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</si>
  <si>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</si>
  <si>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</si>
  <si>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</si>
  <si>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</si>
  <si>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</si>
  <si>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</si>
  <si>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</si>
  <si>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</si>
  <si>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</si>
  <si>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</si>
  <si>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</si>
  <si>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</si>
  <si>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</si>
  <si>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</si>
  <si>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</si>
  <si>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</si>
  <si>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</si>
  <si>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</si>
  <si>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</si>
  <si>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</si>
  <si>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</si>
  <si>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</si>
  <si>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</si>
  <si>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</si>
  <si>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</si>
  <si>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</si>
  <si>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</si>
  <si>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</si>
  <si>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</si>
  <si>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</si>
  <si>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</si>
  <si>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</si>
  <si>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</si>
  <si>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</si>
  <si>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</si>
  <si>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</si>
  <si>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</si>
  <si>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</si>
  <si>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</si>
  <si>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</si>
  <si>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SANT BOI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</si>
</sst>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rN69I+AmuRkifSXr1I47HJ2raUmOTGUDYJLrM8i6ikZGuY0CpL4YfhnXkZcgGkNtgCMdDZeW62kJcCbxOWHLA==" saltValue="5N1PJ1Ws7ql1H++SH0hm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48</v>
      </c>
      <c r="D10" s="225">
        <f>IF(ISNUMBER(Datos!I10),Datos!I10," - ")</f>
        <v>48</v>
      </c>
      <c r="E10" s="226">
        <f>IF(ISNUMBER(Datos!J10),Datos!J10," - ")</f>
        <v>2</v>
      </c>
      <c r="F10" s="226">
        <f>IF(ISNUMBER(Datos!K10),Datos!K10," - ")</f>
        <v>2</v>
      </c>
      <c r="G10" s="1034" t="str">
        <f>IF(Datos!E10&lt;&gt;"",Datos!E10,Datos!D10)</f>
        <v>37</v>
      </c>
      <c r="H10" s="227">
        <f>IF(ISNUMBER(Datos!L10),Datos!L10," - ")</f>
        <v>48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22.247376311844079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48</v>
      </c>
      <c r="D13" s="1049">
        <f>SUBTOTAL(9,D9:D12)</f>
        <v>48</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1986</v>
      </c>
      <c r="D16" s="225">
        <f>IF(ISNUMBER(IF(D_I="SI",Datos!I16,Datos!I16+Datos!AC16)),IF(D_I="SI",Datos!I16,Datos!I16+Datos!AC16)," - ")</f>
        <v>1984</v>
      </c>
      <c r="E16" s="226">
        <f>IF(ISNUMBER(IF(D_I="SI",Datos!J16,Datos!J16+Datos!AD16)),IF(D_I="SI",Datos!J16,Datos!J16+Datos!AD16)," - ")</f>
        <v>1978</v>
      </c>
      <c r="F16" s="226">
        <f>IF(ISNUMBER(IF(D_I="SI",Datos!K16,Datos!K16+Datos!AE16)),IF(D_I="SI",Datos!K16,Datos!K16+Datos!AE16)," - ")</f>
        <v>1834</v>
      </c>
      <c r="G16" s="1034" t="str">
        <f>IF(Datos!E16&lt;&gt;"",Datos!E16,Datos!D16)</f>
        <v>04</v>
      </c>
      <c r="H16" s="227">
        <f>IF(ISNUMBER(IF(D_I="SI",Datos!L16,Datos!L16+Datos!AF16)),IF(D_I="SI",Datos!L16,Datos!L16+Datos!AF16)," - ")</f>
        <v>2130</v>
      </c>
      <c r="I16" s="1044" t="str">
        <f>IF(ISNUMBER(Datos!AS16/Datos!BM16),Datos!AS16/Datos!BM16," - ")</f>
        <v xml:space="preserve"> - </v>
      </c>
      <c r="J16" s="1045">
        <f>IF(ISNUMBER(Datos!BY16/Datos!CN16),Datos!BY16/Datos!CN16," - ")</f>
        <v>0</v>
      </c>
      <c r="K16" s="230">
        <f t="shared" si="3"/>
        <v>7.2507552870090641E-2</v>
      </c>
      <c r="L16" s="1025">
        <f>IF(ISNUMBER(NºAsuntos!I16/NºAsuntos!G16),(NºAsuntos!I16/NºAsuntos!G16)*11," - ")</f>
        <v>12.775354416575789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144</v>
      </c>
      <c r="D17" s="225">
        <f>IF(ISNUMBER(IF(D_I="SI",Datos!I17,Datos!I17+Datos!AC17)),IF(D_I="SI",Datos!I17,Datos!I17+Datos!AC17)," - ")</f>
        <v>144</v>
      </c>
      <c r="E17" s="226">
        <f>IF(ISNUMBER(IF(D_I="SI",Datos!J17,Datos!J17+Datos!AD17)),IF(D_I="SI",Datos!J17,Datos!J17+Datos!AD17)," - ")</f>
        <v>106</v>
      </c>
      <c r="F17" s="226">
        <f>IF(ISNUMBER(IF(D_I="SI",Datos!K17,Datos!K17+Datos!AE17)),IF(D_I="SI",Datos!K17,Datos!K17+Datos!AE17)," - ")</f>
        <v>83</v>
      </c>
      <c r="G17" s="1034" t="str">
        <f>IF(Datos!E17&lt;&gt;"",Datos!E17,Datos!D17)</f>
        <v>37</v>
      </c>
      <c r="H17" s="227">
        <f>IF(ISNUMBER(IF(D_I="SI",Datos!L17,Datos!L17+Datos!AF17)),IF(D_I="SI",Datos!L17,Datos!L17+Datos!AF17)," - ")</f>
        <v>167</v>
      </c>
      <c r="I17" s="1044" t="str">
        <f>IF(ISNUMBER(Datos!AS17/Datos!BM17),Datos!AS17/Datos!BM17," - ")</f>
        <v xml:space="preserve"> - </v>
      </c>
      <c r="J17" s="1045" t="str">
        <f>IF(ISNUMBER((Datos!BY17+Datos!BZ17)/Datos!CN17),(Datos!BY17+Datos!BZ17)/Datos!CN17," - ")</f>
        <v xml:space="preserve"> - </v>
      </c>
      <c r="K17" s="230">
        <f t="shared" si="3"/>
        <v>0.15972222222222221</v>
      </c>
      <c r="L17" s="1025">
        <f>IF(ISNUMBER(NºAsuntos!I17/NºAsuntos!G17),(NºAsuntos!I17/NºAsuntos!G17)*11," - ")</f>
        <v>22.132530120481931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2130</v>
      </c>
      <c r="D18" s="1049">
        <f>SUBTOTAL(9,D15:D17)</f>
        <v>2128</v>
      </c>
      <c r="E18" s="1050">
        <f>SUBTOTAL(9,E15:E17)</f>
        <v>2084</v>
      </c>
      <c r="F18" s="1050">
        <f>SUBTOTAL(9,F15:F17)</f>
        <v>1917</v>
      </c>
      <c r="G18" s="1052" t="str">
        <f ca="1">INDIRECT(CONCATENATE("G",ROW()-1))</f>
        <v>37</v>
      </c>
      <c r="H18" s="1053">
        <f ca="1">SUMIF(G$14:G17,G18,H$14:H17)</f>
        <v>167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2178</v>
      </c>
      <c r="D19" s="1071">
        <f>SUBTOTAL(9,D9:D18)</f>
        <v>2176</v>
      </c>
      <c r="E19" s="1072">
        <f>SUBTOTAL(9,E9:E18)</f>
        <v>2086</v>
      </c>
      <c r="F19" s="1072">
        <f>SUBTOTAL(9,F9:F18)</f>
        <v>1919</v>
      </c>
      <c r="G19" s="1073"/>
      <c r="H19" s="1074">
        <f ca="1">SUMIF(B9:B18,"TOTAL",H9:H18)</f>
        <v>167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o8UUOn2pfI8L7yhi0QHPDxSa8ZKztg0JW8zwvqtz24mcImRkDSLIULOszt7DyUaZw8A1UYIdsMOJrH7kWze7Q==" saltValue="IrrrDDZwCgu7S/FdbXP+N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W3e1f+l/XRdinChtuxHs4n28qCxzE306c/JXu3xQTnGTRWQYw6g+mCVOP/HPgqJq6KnlThSeFCx0qLVw5EoFg==" saltValue="+VMrhSTO5O8t403xnrOJ8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48</v>
      </c>
      <c r="J10" s="181">
        <v>2</v>
      </c>
      <c r="K10" s="181">
        <v>2</v>
      </c>
      <c r="L10" s="181">
        <v>48</v>
      </c>
      <c r="M10" s="181">
        <v>0</v>
      </c>
      <c r="N10" s="181">
        <v>1</v>
      </c>
      <c r="O10" s="181">
        <v>0</v>
      </c>
      <c r="P10" s="181">
        <v>0</v>
      </c>
      <c r="Q10" s="181">
        <v>0</v>
      </c>
      <c r="R10" s="181">
        <v>34</v>
      </c>
      <c r="S10" s="181">
        <v>34</v>
      </c>
      <c r="T10" s="181">
        <v>12</v>
      </c>
      <c r="U10" s="181">
        <v>10</v>
      </c>
      <c r="V10" s="181">
        <v>36</v>
      </c>
      <c r="W10" s="181">
        <v>7</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34</v>
      </c>
      <c r="AZ10" s="129">
        <f t="shared" si="0"/>
        <v>12</v>
      </c>
      <c r="BA10" s="129">
        <f t="shared" si="0"/>
        <v>10</v>
      </c>
      <c r="BB10" s="129">
        <f t="shared" si="0"/>
        <v>36</v>
      </c>
      <c r="BC10" s="125">
        <f t="shared" si="0"/>
        <v>7</v>
      </c>
      <c r="BD10" s="126">
        <f>IF(ISNUMBER(BA10/AZ10),BA10/AZ10," - ")</f>
        <v>0.83333333333333337</v>
      </c>
      <c r="BE10" s="127">
        <f>IF(ISNUMBER(BB10/BA10),BB10/BA10, " - ")</f>
        <v>3.6</v>
      </c>
      <c r="BF10" s="127">
        <f>IF(ISNUMBER(BC10/BA10),BC10/BA10, " - ")</f>
        <v>0.7</v>
      </c>
      <c r="BG10" s="196">
        <f>IF(ISNUMBER((AY10+AZ10)/BA10),(AY10+AZ10)/BA10," - ")</f>
        <v>4.5999999999999996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3336</v>
      </c>
      <c r="J12" s="183">
        <v>2140</v>
      </c>
      <c r="K12" s="183">
        <v>1601</v>
      </c>
      <c r="L12" s="183">
        <v>3875</v>
      </c>
      <c r="M12" s="183">
        <v>377</v>
      </c>
      <c r="N12" s="183">
        <v>987</v>
      </c>
      <c r="O12" s="181">
        <v>609</v>
      </c>
      <c r="P12" s="183">
        <v>291</v>
      </c>
      <c r="Q12" s="183">
        <v>367</v>
      </c>
      <c r="R12" s="183">
        <v>4832</v>
      </c>
      <c r="S12" s="183">
        <v>3356</v>
      </c>
      <c r="T12" s="183">
        <v>1354</v>
      </c>
      <c r="U12" s="183">
        <v>1300</v>
      </c>
      <c r="V12" s="183">
        <v>3410</v>
      </c>
      <c r="W12" s="183">
        <v>314</v>
      </c>
      <c r="X12" s="189">
        <v>832</v>
      </c>
      <c r="Y12" s="191">
        <v>165</v>
      </c>
      <c r="Z12" s="181">
        <v>407</v>
      </c>
      <c r="AA12" s="181">
        <v>400</v>
      </c>
      <c r="AB12" s="181">
        <v>172</v>
      </c>
      <c r="AC12" s="183">
        <v>0</v>
      </c>
      <c r="AD12" s="183">
        <v>0</v>
      </c>
      <c r="AE12" s="183">
        <v>0</v>
      </c>
      <c r="AF12" s="189">
        <v>0</v>
      </c>
      <c r="AG12" s="202">
        <v>111</v>
      </c>
      <c r="AH12" s="183">
        <v>400</v>
      </c>
      <c r="AI12" s="183">
        <v>407</v>
      </c>
      <c r="AJ12" s="203">
        <v>104</v>
      </c>
      <c r="AK12" s="182">
        <v>0</v>
      </c>
      <c r="AL12" s="183">
        <v>0</v>
      </c>
      <c r="AM12" s="183">
        <v>0</v>
      </c>
      <c r="AN12" s="189">
        <v>0</v>
      </c>
      <c r="AO12" s="259">
        <v>6</v>
      </c>
      <c r="AP12" s="155">
        <v>6</v>
      </c>
      <c r="AQ12" s="155">
        <v>6</v>
      </c>
      <c r="AR12" s="154">
        <v>6</v>
      </c>
      <c r="AS12" s="340" t="s">
        <v>801</v>
      </c>
      <c r="AT12" s="203"/>
      <c r="AU12" s="202"/>
      <c r="AV12" s="203"/>
      <c r="AW12" s="202"/>
      <c r="AX12" s="203"/>
      <c r="AY12" s="126">
        <f t="shared" si="1"/>
        <v>3467</v>
      </c>
      <c r="AZ12" s="127">
        <f t="shared" si="1"/>
        <v>1754</v>
      </c>
      <c r="BA12" s="127">
        <f t="shared" si="1"/>
        <v>1707</v>
      </c>
      <c r="BB12" s="127">
        <f t="shared" si="1"/>
        <v>3514</v>
      </c>
      <c r="BC12" s="125">
        <f>IF(ISNUMBER(X12),X12," - ")</f>
        <v>832</v>
      </c>
      <c r="BD12" s="126">
        <f t="shared" si="2"/>
        <v>0.97320410490307863</v>
      </c>
      <c r="BE12" s="127">
        <f t="shared" si="3"/>
        <v>2.0585823081429409</v>
      </c>
      <c r="BF12" s="127">
        <f t="shared" si="4"/>
        <v>0.4874048037492677</v>
      </c>
      <c r="BG12" s="196">
        <f t="shared" si="5"/>
        <v>3.0585823081429409</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3384</v>
      </c>
      <c r="J13" s="184">
        <f t="shared" si="6"/>
        <v>2142</v>
      </c>
      <c r="K13" s="184">
        <f t="shared" si="6"/>
        <v>1603</v>
      </c>
      <c r="L13" s="184">
        <f t="shared" si="6"/>
        <v>3923</v>
      </c>
      <c r="M13" s="184">
        <f t="shared" si="6"/>
        <v>377</v>
      </c>
      <c r="N13" s="184">
        <f t="shared" si="6"/>
        <v>988</v>
      </c>
      <c r="O13" s="184">
        <f t="shared" si="6"/>
        <v>609</v>
      </c>
      <c r="P13" s="184">
        <f t="shared" si="6"/>
        <v>291</v>
      </c>
      <c r="Q13" s="184">
        <f t="shared" si="6"/>
        <v>367</v>
      </c>
      <c r="R13" s="184">
        <f t="shared" si="6"/>
        <v>4866</v>
      </c>
      <c r="S13" s="184">
        <f t="shared" si="6"/>
        <v>3390</v>
      </c>
      <c r="T13" s="184">
        <f t="shared" si="6"/>
        <v>1366</v>
      </c>
      <c r="U13" s="184">
        <f t="shared" si="6"/>
        <v>1310</v>
      </c>
      <c r="V13" s="184">
        <f t="shared" si="6"/>
        <v>3446</v>
      </c>
      <c r="W13" s="184">
        <f t="shared" si="6"/>
        <v>321</v>
      </c>
      <c r="X13" s="184">
        <f t="shared" si="6"/>
        <v>836</v>
      </c>
      <c r="Y13" s="184">
        <f t="shared" si="6"/>
        <v>165</v>
      </c>
      <c r="Z13" s="184">
        <f t="shared" si="6"/>
        <v>407</v>
      </c>
      <c r="AA13" s="184">
        <f t="shared" si="6"/>
        <v>400</v>
      </c>
      <c r="AB13" s="184">
        <f t="shared" si="6"/>
        <v>172</v>
      </c>
      <c r="AC13" s="184">
        <f t="shared" si="6"/>
        <v>0</v>
      </c>
      <c r="AD13" s="184">
        <f t="shared" si="6"/>
        <v>0</v>
      </c>
      <c r="AE13" s="184">
        <f t="shared" si="6"/>
        <v>0</v>
      </c>
      <c r="AF13" s="184">
        <f>SUBTOTAL(9,AF9:AF12)</f>
        <v>0</v>
      </c>
      <c r="AG13" s="184">
        <f t="shared" ref="AG13:AT13" si="7">SUBTOTAL(9,AG8:AG12)</f>
        <v>111</v>
      </c>
      <c r="AH13" s="184">
        <f t="shared" si="7"/>
        <v>400</v>
      </c>
      <c r="AI13" s="184">
        <f t="shared" si="7"/>
        <v>407</v>
      </c>
      <c r="AJ13" s="184">
        <f t="shared" si="7"/>
        <v>104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3501</v>
      </c>
      <c r="AZ13" s="184">
        <f>SUBTOTAL(9,AZ8:AZ12)</f>
        <v>1766</v>
      </c>
      <c r="BA13" s="184">
        <f>SUBTOTAL(9,BA8:BA12)</f>
        <v>1717</v>
      </c>
      <c r="BB13" s="184">
        <f>SUBTOTAL(9,BB8:BB12)</f>
        <v>3550</v>
      </c>
      <c r="BC13" s="184">
        <f>SUBTOTAL(9,BC8:BC12)</f>
        <v>839</v>
      </c>
      <c r="BD13" s="205">
        <f>IF(ISNUMBER(BA13/AZ13),BA13/AZ13," - ")</f>
        <v>0.97225368063420159</v>
      </c>
      <c r="BE13" s="206">
        <f>IF(ISNUMBER(BB13/BA13),BB13/BA13, " - ")</f>
        <v>2.0675596971461854</v>
      </c>
      <c r="BF13" s="206">
        <f>IF(ISNUMBER(BC13/BA13),BC13/BA13, " - ")</f>
        <v>0.48864298194525335</v>
      </c>
      <c r="BG13" s="207">
        <f>IF(ISNUMBER((AY13+AZ13)/BA13),(AY13+AZ13)/BA13," - ")</f>
        <v>3.0675596971461854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1984</v>
      </c>
      <c r="J16" s="183">
        <v>1978</v>
      </c>
      <c r="K16" s="183">
        <v>1834</v>
      </c>
      <c r="L16" s="183">
        <v>2130</v>
      </c>
      <c r="M16" s="183">
        <v>157</v>
      </c>
      <c r="N16" s="183">
        <v>1416</v>
      </c>
      <c r="O16" s="181">
        <v>3</v>
      </c>
      <c r="P16" s="183">
        <v>29</v>
      </c>
      <c r="Q16" s="183">
        <v>57</v>
      </c>
      <c r="R16" s="183">
        <v>466</v>
      </c>
      <c r="S16" s="183">
        <v>1553</v>
      </c>
      <c r="T16" s="183">
        <v>1845</v>
      </c>
      <c r="U16" s="183">
        <v>1799</v>
      </c>
      <c r="V16" s="183">
        <v>1599</v>
      </c>
      <c r="W16" s="183">
        <v>207</v>
      </c>
      <c r="X16" s="189">
        <v>1374</v>
      </c>
      <c r="Y16" s="202">
        <v>0</v>
      </c>
      <c r="Z16" s="183">
        <v>0</v>
      </c>
      <c r="AA16" s="183">
        <v>0</v>
      </c>
      <c r="AB16" s="183">
        <v>0</v>
      </c>
      <c r="AC16" s="183">
        <v>5</v>
      </c>
      <c r="AD16" s="183">
        <v>0</v>
      </c>
      <c r="AE16" s="183">
        <v>0</v>
      </c>
      <c r="AF16" s="189">
        <v>5</v>
      </c>
      <c r="AG16" s="202">
        <v>0</v>
      </c>
      <c r="AH16" s="183">
        <v>0</v>
      </c>
      <c r="AI16" s="183">
        <v>0</v>
      </c>
      <c r="AJ16" s="203">
        <v>0</v>
      </c>
      <c r="AK16" s="182">
        <v>2</v>
      </c>
      <c r="AL16" s="183">
        <v>0</v>
      </c>
      <c r="AM16" s="183">
        <v>0</v>
      </c>
      <c r="AN16" s="189">
        <v>2</v>
      </c>
      <c r="AO16" s="259">
        <v>6</v>
      </c>
      <c r="AP16" s="155">
        <v>6</v>
      </c>
      <c r="AQ16" s="155">
        <v>6</v>
      </c>
      <c r="AR16" s="155">
        <v>6</v>
      </c>
      <c r="AS16" s="340" t="s">
        <v>487</v>
      </c>
      <c r="AT16" s="203"/>
      <c r="AU16" s="202"/>
      <c r="AV16" s="203"/>
      <c r="AW16" s="202"/>
      <c r="AX16" s="203"/>
      <c r="AY16" s="126">
        <f t="shared" si="9"/>
        <v>1553</v>
      </c>
      <c r="AZ16" s="127">
        <f t="shared" si="9"/>
        <v>1845</v>
      </c>
      <c r="BA16" s="127">
        <f t="shared" si="9"/>
        <v>1799</v>
      </c>
      <c r="BB16" s="127">
        <f t="shared" si="9"/>
        <v>1599</v>
      </c>
      <c r="BC16" s="125">
        <f>IF(ISNUMBER(W16),W16," - ")</f>
        <v>207</v>
      </c>
      <c r="BD16" s="126">
        <f t="shared" ref="BD16" si="11">IF(ISNUMBER(BA16/AZ16),BA16/AZ16," - ")</f>
        <v>0.97506775067750673</v>
      </c>
      <c r="BE16" s="127">
        <f t="shared" ref="BE16" si="12">IF(ISNUMBER(BB16/BA16),BB16/BA16, " - ")</f>
        <v>0.88882712618121174</v>
      </c>
      <c r="BF16" s="127">
        <f t="shared" ref="BF16" si="13">IF(ISNUMBER(BC16/BA16),BC16/BA16, " - ")</f>
        <v>0.1150639244024458</v>
      </c>
      <c r="BG16" s="196">
        <f t="shared" si="10"/>
        <v>1.8888271261812117</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144</v>
      </c>
      <c r="J17" s="183">
        <v>106</v>
      </c>
      <c r="K17" s="183">
        <v>83</v>
      </c>
      <c r="L17" s="183">
        <v>167</v>
      </c>
      <c r="M17" s="183">
        <v>3</v>
      </c>
      <c r="N17" s="183">
        <v>49</v>
      </c>
      <c r="O17" s="183">
        <v>0</v>
      </c>
      <c r="P17" s="183">
        <v>0</v>
      </c>
      <c r="Q17" s="183">
        <v>0</v>
      </c>
      <c r="R17" s="183">
        <v>6</v>
      </c>
      <c r="S17" s="183">
        <v>96</v>
      </c>
      <c r="T17" s="183">
        <v>85</v>
      </c>
      <c r="U17" s="183">
        <v>79</v>
      </c>
      <c r="V17" s="183">
        <v>102</v>
      </c>
      <c r="W17" s="183">
        <v>2</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96</v>
      </c>
      <c r="AZ17" s="129">
        <f t="shared" si="14"/>
        <v>85</v>
      </c>
      <c r="BA17" s="129">
        <f t="shared" si="14"/>
        <v>79</v>
      </c>
      <c r="BB17" s="129">
        <f t="shared" si="14"/>
        <v>102</v>
      </c>
      <c r="BC17" s="125">
        <f>IF(ISNUMBER(W17),W17," - ")</f>
        <v>2</v>
      </c>
      <c r="BD17" s="126">
        <f>IF(ISNUMBER(BA17/AZ17),BA17/AZ17," - ")</f>
        <v>0.92941176470588238</v>
      </c>
      <c r="BE17" s="127">
        <f>IF(ISNUMBER(BB17/BA17),BB17/BA17, " - ")</f>
        <v>1.2911392405063291</v>
      </c>
      <c r="BF17" s="127">
        <f>IF(ISNUMBER(BC17/BA17),BC17/BA17, " - ")</f>
        <v>2.5316455696202531E-2</v>
      </c>
      <c r="BG17" s="196">
        <f>IF(ISNUMBER((AY17+AZ17)/BA17),(AY17+AZ17)/BA17," - ")</f>
        <v>2.2911392405063293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2128</v>
      </c>
      <c r="J18" s="184">
        <f t="shared" si="15"/>
        <v>2084</v>
      </c>
      <c r="K18" s="184">
        <f t="shared" si="15"/>
        <v>1917</v>
      </c>
      <c r="L18" s="184">
        <f t="shared" si="15"/>
        <v>2297</v>
      </c>
      <c r="M18" s="184">
        <f t="shared" si="15"/>
        <v>160</v>
      </c>
      <c r="N18" s="184">
        <f t="shared" si="15"/>
        <v>1465</v>
      </c>
      <c r="O18" s="184">
        <f t="shared" si="15"/>
        <v>3</v>
      </c>
      <c r="P18" s="184">
        <f t="shared" si="15"/>
        <v>29</v>
      </c>
      <c r="Q18" s="184">
        <f t="shared" si="15"/>
        <v>57</v>
      </c>
      <c r="R18" s="184">
        <f t="shared" si="15"/>
        <v>472</v>
      </c>
      <c r="S18" s="184">
        <f t="shared" si="15"/>
        <v>1649</v>
      </c>
      <c r="T18" s="184">
        <f t="shared" si="15"/>
        <v>1930</v>
      </c>
      <c r="U18" s="184">
        <f t="shared" si="15"/>
        <v>1878</v>
      </c>
      <c r="V18" s="184">
        <f t="shared" si="15"/>
        <v>1701</v>
      </c>
      <c r="W18" s="184">
        <f t="shared" si="15"/>
        <v>209</v>
      </c>
      <c r="X18" s="184">
        <f t="shared" si="15"/>
        <v>1419</v>
      </c>
      <c r="Y18" s="184">
        <f t="shared" si="15"/>
        <v>0</v>
      </c>
      <c r="Z18" s="184">
        <f t="shared" si="15"/>
        <v>0</v>
      </c>
      <c r="AA18" s="184">
        <f t="shared" si="15"/>
        <v>0</v>
      </c>
      <c r="AB18" s="184">
        <f t="shared" si="15"/>
        <v>0</v>
      </c>
      <c r="AC18" s="184">
        <f t="shared" si="15"/>
        <v>5</v>
      </c>
      <c r="AD18" s="184">
        <f t="shared" si="15"/>
        <v>0</v>
      </c>
      <c r="AE18" s="184">
        <f t="shared" si="15"/>
        <v>0</v>
      </c>
      <c r="AF18" s="184">
        <f t="shared" si="15"/>
        <v>5</v>
      </c>
      <c r="AG18" s="184">
        <f t="shared" si="15"/>
        <v>0</v>
      </c>
      <c r="AH18" s="184">
        <f t="shared" si="15"/>
        <v>0</v>
      </c>
      <c r="AI18" s="184">
        <f t="shared" si="15"/>
        <v>0</v>
      </c>
      <c r="AJ18" s="184">
        <f t="shared" si="15"/>
        <v>0</v>
      </c>
      <c r="AK18" s="184">
        <f t="shared" si="15"/>
        <v>2</v>
      </c>
      <c r="AL18" s="184">
        <f t="shared" si="15"/>
        <v>0</v>
      </c>
      <c r="AM18" s="184">
        <f t="shared" si="15"/>
        <v>0</v>
      </c>
      <c r="AN18" s="184">
        <f t="shared" si="15"/>
        <v>2</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1649</v>
      </c>
      <c r="AZ18" s="184">
        <f>SUBTOTAL(9,AZ14:AZ17)</f>
        <v>1930</v>
      </c>
      <c r="BA18" s="184">
        <f>SUBTOTAL(9,BA14:BA17)</f>
        <v>1878</v>
      </c>
      <c r="BB18" s="184">
        <f>SUBTOTAL(9,BB14:BB17)</f>
        <v>1701</v>
      </c>
      <c r="BC18" s="184">
        <f>SUBTOTAL(9,BC14:BC17)</f>
        <v>209</v>
      </c>
      <c r="BD18" s="205">
        <f>IF(ISNUMBER(BA18/AZ18),BA18/AZ18," - ")</f>
        <v>0.97305699481865282</v>
      </c>
      <c r="BE18" s="206">
        <f>IF(ISNUMBER(BB18/BA18),BB18/BA18, " - ")</f>
        <v>0.90575079872204478</v>
      </c>
      <c r="BF18" s="206">
        <f>IF(ISNUMBER(BC18/BA18),BC18/BA18, " - ")</f>
        <v>0.11128860489882854</v>
      </c>
      <c r="BG18" s="207">
        <f>IF(ISNUMBER((AY18+AZ18)/BA18),(AY18+AZ18)/BA18," - ")</f>
        <v>1.9057507987220448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5512</v>
      </c>
      <c r="J19" s="134">
        <f t="shared" si="18"/>
        <v>4226</v>
      </c>
      <c r="K19" s="134">
        <f t="shared" si="18"/>
        <v>3520</v>
      </c>
      <c r="L19" s="134">
        <f t="shared" si="18"/>
        <v>6220</v>
      </c>
      <c r="M19" s="134">
        <f t="shared" si="18"/>
        <v>537</v>
      </c>
      <c r="N19" s="134">
        <f t="shared" si="18"/>
        <v>2453</v>
      </c>
      <c r="O19" s="134">
        <f t="shared" si="18"/>
        <v>612</v>
      </c>
      <c r="P19" s="134">
        <f t="shared" si="18"/>
        <v>320</v>
      </c>
      <c r="Q19" s="134">
        <f t="shared" si="18"/>
        <v>424</v>
      </c>
      <c r="R19" s="134">
        <f t="shared" si="18"/>
        <v>5338</v>
      </c>
      <c r="S19" s="134">
        <f t="shared" si="18"/>
        <v>5039</v>
      </c>
      <c r="T19" s="134">
        <f t="shared" si="18"/>
        <v>3296</v>
      </c>
      <c r="U19" s="134">
        <f t="shared" si="18"/>
        <v>3188</v>
      </c>
      <c r="V19" s="134">
        <f t="shared" si="18"/>
        <v>5147</v>
      </c>
      <c r="W19" s="134">
        <f t="shared" si="18"/>
        <v>530</v>
      </c>
      <c r="X19" s="134">
        <f t="shared" si="18"/>
        <v>2255</v>
      </c>
      <c r="Y19" s="134">
        <f t="shared" si="18"/>
        <v>165</v>
      </c>
      <c r="Z19" s="134">
        <f t="shared" si="18"/>
        <v>407</v>
      </c>
      <c r="AA19" s="134">
        <f t="shared" si="18"/>
        <v>400</v>
      </c>
      <c r="AB19" s="134">
        <f t="shared" si="18"/>
        <v>172</v>
      </c>
      <c r="AC19" s="134">
        <f t="shared" si="18"/>
        <v>5</v>
      </c>
      <c r="AD19" s="134">
        <f t="shared" si="18"/>
        <v>0</v>
      </c>
      <c r="AE19" s="134">
        <f t="shared" si="18"/>
        <v>0</v>
      </c>
      <c r="AF19" s="134">
        <f t="shared" si="18"/>
        <v>5</v>
      </c>
      <c r="AG19" s="134">
        <f t="shared" si="18"/>
        <v>111</v>
      </c>
      <c r="AH19" s="134">
        <f t="shared" si="18"/>
        <v>400</v>
      </c>
      <c r="AI19" s="134">
        <f t="shared" si="18"/>
        <v>407</v>
      </c>
      <c r="AJ19" s="134">
        <f t="shared" si="18"/>
        <v>104</v>
      </c>
      <c r="AK19" s="134">
        <f t="shared" si="18"/>
        <v>2</v>
      </c>
      <c r="AL19" s="134">
        <f t="shared" si="18"/>
        <v>0</v>
      </c>
      <c r="AM19" s="134">
        <f t="shared" si="18"/>
        <v>0</v>
      </c>
      <c r="AN19" s="210">
        <f t="shared" si="18"/>
        <v>2</v>
      </c>
      <c r="AO19" s="211">
        <v>7</v>
      </c>
      <c r="AP19" s="211">
        <v>6</v>
      </c>
      <c r="AQ19" s="211">
        <v>6</v>
      </c>
      <c r="AR19" s="211">
        <v>6</v>
      </c>
      <c r="AS19" s="153">
        <f t="shared" si="18"/>
        <v>0</v>
      </c>
      <c r="AT19" s="153">
        <f t="shared" si="18"/>
        <v>0</v>
      </c>
      <c r="AU19" s="211"/>
      <c r="AV19" s="212"/>
      <c r="AW19" s="211"/>
      <c r="AX19" s="212"/>
      <c r="AY19" s="133">
        <f>SUBTOTAL(9,AY9:AY18)</f>
        <v>5150</v>
      </c>
      <c r="AZ19" s="134">
        <f>SUBTOTAL(9,AZ9:AZ18)</f>
        <v>3696</v>
      </c>
      <c r="BA19" s="134">
        <f>SUBTOTAL(9,BA9:BA18)</f>
        <v>3595</v>
      </c>
      <c r="BB19" s="134">
        <f>SUBTOTAL(9,BB9:BB18)</f>
        <v>5251</v>
      </c>
      <c r="BC19" s="135">
        <f>SUBTOTAL(9,BC9:BC18)</f>
        <v>1048</v>
      </c>
      <c r="BD19" s="213">
        <f>IF(ISNUMBER(BA19/AZ19),BA19/AZ19," - ")</f>
        <v>0.97267316017316019</v>
      </c>
      <c r="BE19" s="210">
        <f>IF(ISNUMBER(BB19/BA19),BB19/BA19, " - ")</f>
        <v>1.4606397774687065</v>
      </c>
      <c r="BF19" s="210">
        <f>IF(ISNUMBER(BC19/BA19),BC19/BA19, " - ")</f>
        <v>0.29151599443671766</v>
      </c>
      <c r="BG19" s="135">
        <f>IF(ISNUMBER((AY19+AZ19)/BA19),(AY19+AZ19)/BA19," - ")</f>
        <v>2.4606397774687063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rUMDlnMwYpu5LwtdDfXAtl4cz+9gNBWLDqBipWFhWwXcdNtrWIT1ei5JZKO/H1zXmAg/HiDy20hr8c3b0Cqdg==" saltValue="ujmdOvRlIWRKqTbI2+nL0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LXA9XbT6kx23iOSsjkmCtUcMHZkgn6VtJ5WRrphEf8WXZND/IvMZMms3F9+FSXuyjSKk/1yj7uo58ouKuoPfw==" saltValue="DRahBYUXf+86jJ+X5pI9b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48</v>
      </c>
      <c r="G10" s="333">
        <f>IF(ISNUMBER(Datos!I10),Datos!I10," - ")</f>
        <v>48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48</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72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407</v>
      </c>
      <c r="O12" s="334"/>
      <c r="P12" s="334"/>
      <c r="Q12" s="226">
        <f>IF(ISNUMBER(Datos!P12),Datos!P12,0)</f>
        <v>291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172</v>
      </c>
      <c r="AI12" s="334" t="str">
        <f>IF(ISNUMBER(Datos!CD12),Datos!CD12,"-")</f>
        <v>-</v>
      </c>
      <c r="AJ12" s="334" t="str">
        <f>IF(ISNUMBER(Datos!EN12),Datos!EN12," - ")</f>
        <v xml:space="preserve"> - </v>
      </c>
      <c r="AK12" s="334"/>
      <c r="AL12" s="479"/>
      <c r="AM12" s="335">
        <f>IF(ISNUMBER(Datos!R12),Datos!R12," - ")</f>
        <v>4832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377</v>
      </c>
      <c r="BD12" s="229">
        <f>IF(ISNUMBER(Datos!N12),Datos!N12," - ")</f>
        <v>987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0.78563015312131923</v>
      </c>
      <c r="BH12" s="260">
        <f>IF(ISNUMBER(((IF(J_V="SI",Datos!L12/Datos!K12,(Datos!L12+Datos!AB12)/(Datos!K12+Datos!AA12)))*11)/factor_trimestre),((IF(J_V="SI",Datos!L12/Datos!K12,(Datos!L12+Datos!AB12)/(Datos!K12+Datos!AA12)))*11)/factor_trimestre," - ")</f>
        <v>6.0674662668665675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-1.5484922575387123E-2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48</v>
      </c>
      <c r="G13" s="898">
        <f t="shared" si="0"/>
        <v>48</v>
      </c>
      <c r="H13" s="899">
        <f t="shared" si="0"/>
        <v>0</v>
      </c>
      <c r="I13" s="898">
        <f t="shared" si="0"/>
        <v>0</v>
      </c>
      <c r="J13" s="867">
        <f t="shared" si="0"/>
        <v>0</v>
      </c>
      <c r="K13" s="867">
        <f t="shared" si="0"/>
        <v>0</v>
      </c>
      <c r="L13" s="899">
        <f t="shared" si="0"/>
        <v>0</v>
      </c>
      <c r="M13" s="899">
        <f t="shared" si="0"/>
        <v>0</v>
      </c>
      <c r="N13" s="899">
        <f t="shared" si="0"/>
        <v>407</v>
      </c>
      <c r="O13" s="900">
        <f t="shared" si="0"/>
        <v>0</v>
      </c>
      <c r="P13" s="900">
        <f t="shared" si="0"/>
        <v>0</v>
      </c>
      <c r="Q13" s="899">
        <f t="shared" si="0"/>
        <v>291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367</v>
      </c>
      <c r="AD13" s="899">
        <f t="shared" si="1"/>
        <v>0</v>
      </c>
      <c r="AE13" s="899">
        <f t="shared" si="1"/>
        <v>0</v>
      </c>
      <c r="AF13" s="899">
        <f t="shared" si="1"/>
        <v>48</v>
      </c>
      <c r="AG13" s="899">
        <f t="shared" si="1"/>
        <v>0</v>
      </c>
      <c r="AH13" s="899">
        <f t="shared" si="1"/>
        <v>172</v>
      </c>
      <c r="AI13" s="899">
        <f t="shared" si="1"/>
        <v>0</v>
      </c>
      <c r="AJ13" s="899">
        <f t="shared" si="1"/>
        <v>0</v>
      </c>
      <c r="AK13" s="899">
        <f t="shared" si="1"/>
        <v>0</v>
      </c>
      <c r="AL13" s="899">
        <f t="shared" si="1"/>
        <v>0</v>
      </c>
      <c r="AM13" s="899">
        <f t="shared" si="1"/>
        <v>4866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377</v>
      </c>
      <c r="BD13" s="899">
        <f t="shared" si="1"/>
        <v>988</v>
      </c>
      <c r="BE13" s="899">
        <f t="shared" si="1"/>
        <v>0</v>
      </c>
      <c r="BF13" s="899">
        <f t="shared" si="1"/>
        <v>0</v>
      </c>
      <c r="BG13" s="899">
        <f>IF(ISNUMBER(Datos!K13/Datos!J13),Datos!K13/Datos!J13," - ")</f>
        <v>0.74836601307189543</v>
      </c>
      <c r="BH13" s="903">
        <f>IF(ISNUMBER(((Datos!L13/Datos!K13)*11)/factor_trimestre),((Datos!L13/Datos!K13)*11)/factor_trimestre," - ")</f>
        <v>7.3418590143480982</v>
      </c>
      <c r="BI13" s="899">
        <f>IF(ISNUMBER('Resol  Asuntos'!D13/NºAsuntos!G13),'Resol  Asuntos'!D13/NºAsuntos!G13," - ")</f>
        <v>0.18821767348976534</v>
      </c>
      <c r="BJ13" s="899" t="str">
        <f>IF(ISNUMBER(Datos!CI13/Datos!CJ13),Datos!CI13/Datos!CJ13," - ")</f>
        <v xml:space="preserve"> - </v>
      </c>
      <c r="BK13" s="899">
        <f>SUBTOTAL(9,BK8:BK12)</f>
        <v>0</v>
      </c>
      <c r="BL13" s="899">
        <f>IF(ISNUMBER((I13-AB13+L13)/(F13)),(I13-AB13+L13)/(F13)," - ")</f>
        <v>-4.1666666666666664E-2</v>
      </c>
      <c r="BM13" s="904">
        <f>SUBTOTAL(9,BM9:BM12)</f>
        <v>-1.5484922575387123E-2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1986</v>
      </c>
      <c r="G16" s="598">
        <f>IF(ISNUMBER(IF(D_I="SI",Datos!I16,Datos!I16+Datos!AC16)),IF(D_I="SI",Datos!I16,Datos!I16+Datos!AC16)," - ")</f>
        <v>1984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1834</v>
      </c>
      <c r="AC16" s="226">
        <f>IF(ISNUMBER(Datos!Q16),Datos!Q16," - ")</f>
        <v>57</v>
      </c>
      <c r="AD16" s="334"/>
      <c r="AE16" s="484"/>
      <c r="AF16" s="596">
        <f>IF(ISNUMBER(IF(D_I="SI",Datos!L16,Datos!L16+Datos!AF16)),IF(D_I="SI",Datos!L16,Datos!L16+Datos!AF16)," - ")</f>
        <v>2130</v>
      </c>
      <c r="AG16" s="334"/>
      <c r="AH16" s="334"/>
      <c r="AI16" s="334"/>
      <c r="AJ16" s="334"/>
      <c r="AK16" s="334"/>
      <c r="AL16" s="479"/>
      <c r="AM16" s="335">
        <f>IF(ISNUMBER(Datos!R16),Datos!R16," - ")</f>
        <v>466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157</v>
      </c>
      <c r="BD16" s="229">
        <f>IF(ISNUMBER(Datos!N16),Datos!N16," - ")</f>
        <v>1416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0.92719919110212334</v>
      </c>
      <c r="BH16" s="260">
        <f>IF(ISNUMBER(((IF(D_I="SI",Datos!L16/Datos!K16,(Datos!L16+Datos!AF16)/(Datos!K16+Datos!AE16)))*11)/factor_trimestre),((IF(D_I="SI",Datos!L16/Datos!K16,(Datos!L16+Datos!AF16)/(Datos!K16+Datos!AE16)))*11)/factor_trimestre," - ")</f>
        <v>3.4841875681570333</v>
      </c>
      <c r="BI16" s="243">
        <f>IF(ISNUMBER('Resol  Asuntos'!D16/NºAsuntos!G16),'Resol  Asuntos'!D16/NºAsuntos!G16," - ")</f>
        <v>8.5605234460196286E-2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83</v>
      </c>
      <c r="AC17" s="226">
        <f>IF(ISNUMBER(Datos!Q17),Datos!Q17," - ")</f>
        <v>0</v>
      </c>
      <c r="AD17" s="334"/>
      <c r="AE17" s="484"/>
      <c r="AF17" s="332">
        <f>IF(ISNUMBER(Datos!L17),Datos!L17,"-")</f>
        <v>167</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0.78301886792452835</v>
      </c>
      <c r="BH17" s="260">
        <f>IF(ISNUMBER(((IF(D_I="SI",Datos!L17/Datos!K17,(Datos!L17+Datos!AF17)/(Datos!K17+Datos!AE17)))*11)/factor_trimestre),((IF(D_I="SI",Datos!L17/Datos!K17,(Datos!L17+Datos!AF17)/(Datos!K17+Datos!AE17)))*11)/factor_trimestre," - ")</f>
        <v>6.0361445783132543</v>
      </c>
      <c r="BI17" s="243">
        <f>IF(ISNUMBER('Resol  Asuntos'!D17/NºAsuntos!G17),'Resol  Asuntos'!D17/NºAsuntos!G17," - ")</f>
        <v>3.614457831325301E-2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1986</v>
      </c>
      <c r="G18" s="898">
        <f>SUBTOTAL(9,G15:G17)</f>
        <v>2128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1917</v>
      </c>
      <c r="AC18" s="899">
        <f t="shared" si="4"/>
        <v>57</v>
      </c>
      <c r="AD18" s="899">
        <f t="shared" si="4"/>
        <v>0</v>
      </c>
      <c r="AE18" s="899">
        <f t="shared" si="4"/>
        <v>0</v>
      </c>
      <c r="AF18" s="899">
        <f t="shared" si="4"/>
        <v>2297</v>
      </c>
      <c r="AG18" s="899">
        <f t="shared" si="4"/>
        <v>0</v>
      </c>
      <c r="AH18" s="899">
        <f t="shared" si="4"/>
        <v>0</v>
      </c>
      <c r="AI18" s="899">
        <f t="shared" si="4"/>
        <v>0</v>
      </c>
      <c r="AJ18" s="899">
        <f t="shared" si="4"/>
        <v>0</v>
      </c>
      <c r="AK18" s="899">
        <f t="shared" si="4"/>
        <v>0</v>
      </c>
      <c r="AL18" s="899">
        <f t="shared" si="4"/>
        <v>0</v>
      </c>
      <c r="AM18" s="899">
        <f t="shared" si="4"/>
        <v>472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160</v>
      </c>
      <c r="BD18" s="899">
        <f t="shared" si="4"/>
        <v>1465</v>
      </c>
      <c r="BE18" s="899">
        <f t="shared" si="4"/>
        <v>0</v>
      </c>
      <c r="BF18" s="899">
        <f t="shared" si="4"/>
        <v>0</v>
      </c>
      <c r="BG18" s="899">
        <f>IF(ISNUMBER(Datos!K18/Datos!J18),Datos!K18/Datos!J18," - ")</f>
        <v>0.91986564299424189</v>
      </c>
      <c r="BH18" s="903">
        <f>IF(ISNUMBER(((Datos!L18/Datos!K18)*11)/factor_trimestre),((Datos!L18/Datos!K18)*11)/factor_trimestre," - ")</f>
        <v>3.5946791862284826</v>
      </c>
      <c r="BI18" s="899">
        <f>SUBTOTAL(9,BI15:BI17)</f>
        <v>0.12174981277344929</v>
      </c>
      <c r="BJ18" s="899">
        <f>SUBTOTAL(9,BJ15:BJ17)</f>
        <v>0</v>
      </c>
      <c r="BK18" s="899">
        <f>SUBTOTAL(9,BK15:BK17)</f>
        <v>0</v>
      </c>
      <c r="BL18" s="899">
        <f>IF(ISNUMBER((I18-AB18+L18)/(F18)),(I18-AB18+L18)/(F18)," - ")</f>
        <v>-0.96525679758308158</v>
      </c>
      <c r="BM18" s="905">
        <f>IF(ISNUMBER((Datos!P18-Datos!Q18)/(Datos!R18-Datos!P18+Datos!Q18)),(Datos!P18-Datos!Q18)/(Datos!R18-Datos!P18+Datos!Q18)," - ")</f>
        <v>-5.6000000000000001E-2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2034</v>
      </c>
      <c r="G19" s="820">
        <f t="shared" si="6"/>
        <v>2176</v>
      </c>
      <c r="H19" s="822">
        <f t="shared" si="6"/>
        <v>0</v>
      </c>
      <c r="I19" s="820">
        <f t="shared" si="6"/>
        <v>0</v>
      </c>
      <c r="J19" s="822">
        <f t="shared" si="6"/>
        <v>0</v>
      </c>
      <c r="K19" s="822">
        <f t="shared" si="6"/>
        <v>0</v>
      </c>
      <c r="L19" s="881">
        <f t="shared" si="6"/>
        <v>0</v>
      </c>
      <c r="M19" s="881">
        <f t="shared" si="6"/>
        <v>0</v>
      </c>
      <c r="N19" s="881">
        <f t="shared" si="6"/>
        <v>407</v>
      </c>
      <c r="O19" s="881">
        <f t="shared" si="6"/>
        <v>0</v>
      </c>
      <c r="P19" s="881">
        <f t="shared" si="6"/>
        <v>0</v>
      </c>
      <c r="Q19" s="822">
        <f t="shared" si="6"/>
        <v>320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1919</v>
      </c>
      <c r="AC19" s="821">
        <f t="shared" si="7"/>
        <v>424</v>
      </c>
      <c r="AD19" s="821">
        <f t="shared" si="7"/>
        <v>0</v>
      </c>
      <c r="AE19" s="821">
        <f t="shared" si="7"/>
        <v>0</v>
      </c>
      <c r="AF19" s="828">
        <f t="shared" si="7"/>
        <v>2345</v>
      </c>
      <c r="AG19" s="828">
        <f t="shared" si="7"/>
        <v>0</v>
      </c>
      <c r="AH19" s="828">
        <f t="shared" si="7"/>
        <v>172</v>
      </c>
      <c r="AI19" s="828">
        <f t="shared" si="7"/>
        <v>0</v>
      </c>
      <c r="AJ19" s="821">
        <f t="shared" si="7"/>
        <v>0</v>
      </c>
      <c r="AK19" s="828">
        <f t="shared" si="7"/>
        <v>0</v>
      </c>
      <c r="AL19" s="828">
        <f t="shared" si="7"/>
        <v>0</v>
      </c>
      <c r="AM19" s="828">
        <f t="shared" si="7"/>
        <v>5338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537</v>
      </c>
      <c r="BD19" s="820">
        <f t="shared" si="7"/>
        <v>2453</v>
      </c>
      <c r="BE19" s="820">
        <f t="shared" si="7"/>
        <v>0</v>
      </c>
      <c r="BF19" s="830">
        <f t="shared" si="7"/>
        <v>0</v>
      </c>
      <c r="BG19" s="915">
        <f>IF(ISNUMBER(Datos!K19/Datos!J19),Datos!K19/Datos!J19," - ")</f>
        <v>0.83293894936109791</v>
      </c>
      <c r="BH19" s="915">
        <f>IF(ISNUMBER(((Datos!L19/Datos!K19)*11)/factor_trimestre),((Datos!L19/Datos!K19)*11)/factor_trimestre," - ")</f>
        <v>5.3011363636363642</v>
      </c>
      <c r="BI19" s="813">
        <f>IF(ISNUMBER(Datos!J19/Datos!I19),Datos!J19/Datos!I19," - ")</f>
        <v>0.76669085631349787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-0.94346116027531957</v>
      </c>
      <c r="BM19" s="889">
        <f>IF(ISNUMBER((Datos!P19-Datos!Q19+R19)/(Datos!R19-Datos!P19+Datos!Q19-R19)),(Datos!P19-Datos!Q19+R19)/(Datos!R19-Datos!P19+Datos!Q19-R19)," - ")</f>
        <v>-1.9110621095185593E-2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1118.9048216894948</v>
      </c>
      <c r="G21" s="552">
        <f>IF(ISNUMBER(STDEV(G8:G18)),STDEV(G8:G18),"-")</f>
        <v>1084.2051466396938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1012.3355668946933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168.68313490091415</v>
      </c>
      <c r="BD21" s="551"/>
      <c r="BE21" s="551">
        <f>IF(ISNUMBER(STDEV(BE8:BE18)),STDEV(BE8:BE18),"-")</f>
        <v>0</v>
      </c>
      <c r="BF21" s="556">
        <f>IF(ISNUMBER(STDEV(BF8:BF18)),STDEV(BF8:BF18),"-")</f>
        <v>0</v>
      </c>
      <c r="BG21" s="775">
        <f>IF(ISNUMBER(STDEV(BG8:BG18)),STDEV(BG8:BG18),"-")</f>
        <v>0.10160311819325624</v>
      </c>
      <c r="BH21" s="776">
        <f>IF(ISNUMBER(STDEV(BH8:BH18)),STDEV(BH8:BH18),"-")</f>
        <v>27.270396205347453</v>
      </c>
      <c r="BI21" s="249">
        <f>IF(ISNUMBER(STDEV(BI8:BI18)),STDEV(BI8:BI18),"-")</f>
        <v>6.4001665761707252E-2</v>
      </c>
      <c r="BJ21" s="230" t="str">
        <f>IF(ISNUMBER(BL21/BM21),BL21/BM21," - ")</f>
        <v xml:space="preserve"> - </v>
      </c>
      <c r="BK21" s="575"/>
      <c r="BL21" s="559">
        <f>IF(ISNUMBER(STDEV(BL8:BL18)),STDEV(BL8:BL18),"-")</f>
        <v>0.65307684460796822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jFSQIDwtMRnu3JEkjpsYm4v4RPL6Z0aRIPjj5hczXuYSp+AepMiitMQ9UDA1Ub/lAAnD9b9sgk7mVE85sWdBDA==" saltValue="xr+xoEq2agtZVv2KcPJ2x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 BOI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48</v>
      </c>
      <c r="G10" s="225">
        <f>IF(ISNUMBER(Datos!I10),Datos!I10," - ")</f>
        <v>48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48</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367</v>
      </c>
      <c r="AA12" s="332" t="str">
        <f>IF(ISNUMBER(IF(J_V="SI",Datos!L12,Datos!L12+Datos!AB12)-IF(Monitorios="SI",Datos!CD12,0)),
                          IF(J_V="SI",Datos!L12,Datos!L12+Datos!AB12)-IF(Monitorios="SI",Datos!CD12,0),
                          " - ")</f>
        <v xml:space="preserve"> - </v>
      </c>
      <c r="AB12" s="334"/>
      <c r="AC12" s="334"/>
      <c r="AD12" s="484"/>
      <c r="AE12" s="484">
        <f>IF(ISNUMBER(Datos!R12),Datos!R12," - ")</f>
        <v>4832</v>
      </c>
      <c r="AF12" s="229" t="str">
        <f>IF(ISNUMBER(Datos!BV12),Datos!BV12," - ")</f>
        <v xml:space="preserve"> - </v>
      </c>
      <c r="AG12" s="225" t="str">
        <f>IF(ISNUMBER(Datos!DV12),Datos!DV12," - ")</f>
        <v xml:space="preserve"> - </v>
      </c>
      <c r="AH12" s="298"/>
      <c r="AI12" s="227"/>
      <c r="AJ12" s="225">
        <f>IF(ISNUMBER(Datos!M12),Datos!M12," - ")</f>
        <v>377</v>
      </c>
      <c r="AK12" s="229">
        <f>IF(ISNUMBER(Datos!N12),Datos!N12," - ")</f>
        <v>987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6.0674662668665675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-1.5484922575387123E-2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48</v>
      </c>
      <c r="G13" s="898">
        <f>SUBTOTAL(9,G8:G12)</f>
        <v>48</v>
      </c>
      <c r="H13" s="908"/>
      <c r="I13" s="898">
        <f t="shared" ref="I13:N13" si="0">SUBTOTAL(9,I8:I12)</f>
        <v>0</v>
      </c>
      <c r="J13" s="867">
        <f t="shared" si="0"/>
        <v>0</v>
      </c>
      <c r="K13" s="908">
        <f t="shared" si="0"/>
        <v>0</v>
      </c>
      <c r="L13" s="908">
        <f t="shared" si="0"/>
        <v>0</v>
      </c>
      <c r="M13" s="908">
        <f t="shared" si="0"/>
        <v>0</v>
      </c>
      <c r="N13" s="908">
        <f t="shared" si="0"/>
        <v>291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367</v>
      </c>
      <c r="AA13" s="900">
        <f t="shared" si="2"/>
        <v>48</v>
      </c>
      <c r="AB13" s="900">
        <f t="shared" si="2"/>
        <v>0</v>
      </c>
      <c r="AC13" s="900">
        <f t="shared" si="2"/>
        <v>0</v>
      </c>
      <c r="AD13" s="900">
        <f t="shared" si="2"/>
        <v>0</v>
      </c>
      <c r="AE13" s="900">
        <f t="shared" si="2"/>
        <v>4866</v>
      </c>
      <c r="AF13" s="908">
        <f t="shared" si="2"/>
        <v>0</v>
      </c>
      <c r="AG13" s="908">
        <f t="shared" si="2"/>
        <v>0</v>
      </c>
      <c r="AH13" s="908">
        <f t="shared" si="2"/>
        <v>0</v>
      </c>
      <c r="AI13" s="908">
        <f t="shared" si="2"/>
        <v>0</v>
      </c>
      <c r="AJ13" s="908">
        <f t="shared" si="2"/>
        <v>377</v>
      </c>
      <c r="AK13" s="908">
        <f t="shared" si="2"/>
        <v>988</v>
      </c>
      <c r="AL13" s="908">
        <f t="shared" si="2"/>
        <v>0</v>
      </c>
      <c r="AM13" s="908">
        <f t="shared" si="2"/>
        <v>0</v>
      </c>
      <c r="AN13" s="908">
        <f t="shared" si="2"/>
        <v>0</v>
      </c>
      <c r="AO13" s="904">
        <f>IF(ISNUMBER(((NºAsuntos!I13/NºAsuntos!G13)*11)/factor_trimestre),((NºAsuntos!I13/NºAsuntos!G13)*11)/factor_trimestre," - ")</f>
        <v>6.1333000499251122</v>
      </c>
      <c r="AP13" s="910" t="str">
        <f>IF(ISNUMBER(Datos!CI13/Datos!CJ13),Datos!CI13/Datos!CJ13," - ")</f>
        <v xml:space="preserve"> - </v>
      </c>
      <c r="AQ13" s="928">
        <f t="shared" ref="AQ13:AV13" si="3">SUBTOTAL(9,AQ9:AQ12)</f>
        <v>0</v>
      </c>
      <c r="AR13" s="928">
        <f t="shared" si="3"/>
        <v>-1.5484922575387123E-2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1986</v>
      </c>
      <c r="G16" s="225">
        <f>IF(ISNUMBER(IF(D_I="SI",Datos!I16,Datos!I16+Datos!AC16)),IF(D_I="SI",Datos!I16,Datos!I16+Datos!AC16)," - ")</f>
        <v>1984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1834</v>
      </c>
      <c r="Z16" s="619">
        <f>IF(ISNUMBER(Datos!Q16),Datos!Q16," - ")</f>
        <v>57</v>
      </c>
      <c r="AA16" s="332">
        <f>IF(ISNUMBER(IF(D_I="SI",Datos!L16,Datos!L16+Datos!AF16)),IF(D_I="SI",Datos!L16,Datos!L16+Datos!AF16)," - ")</f>
        <v>2130</v>
      </c>
      <c r="AB16" s="334"/>
      <c r="AC16" s="334"/>
      <c r="AD16" s="484"/>
      <c r="AE16" s="484">
        <f>IF(ISNUMBER(Datos!R16),Datos!R16," - ")</f>
        <v>466</v>
      </c>
      <c r="AF16" s="229" t="str">
        <f>IF(ISNUMBER(Datos!BV16),Datos!BV16," - ")</f>
        <v xml:space="preserve"> - </v>
      </c>
      <c r="AG16" s="225"/>
      <c r="AH16" s="298"/>
      <c r="AI16" s="227"/>
      <c r="AJ16" s="225">
        <f>IF(ISNUMBER(Datos!M16),Datos!M16," - ")</f>
        <v>157</v>
      </c>
      <c r="AK16" s="229">
        <f>IF(ISNUMBER(Datos!N16),Datos!N16," - ")</f>
        <v>1416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3.4841875681570333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83</v>
      </c>
      <c r="Z17" s="619">
        <f>IF(ISNUMBER(Datos!Q17),Datos!Q17," - ")</f>
        <v>0</v>
      </c>
      <c r="AA17" s="332">
        <f>IF(ISNUMBER(Datos!L17),Datos!L17,"-")</f>
        <v>167</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3</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6.0361445783132543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1986</v>
      </c>
      <c r="G18" s="898">
        <f>SUBTOTAL(9,G15:G17)</f>
        <v>2128</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1917</v>
      </c>
      <c r="Z18" s="932">
        <f t="shared" si="5"/>
        <v>57</v>
      </c>
      <c r="AA18" s="932">
        <f t="shared" si="5"/>
        <v>2297</v>
      </c>
      <c r="AB18" s="932">
        <f t="shared" si="5"/>
        <v>0</v>
      </c>
      <c r="AC18" s="932">
        <f t="shared" si="5"/>
        <v>0</v>
      </c>
      <c r="AD18" s="932">
        <f t="shared" si="5"/>
        <v>0</v>
      </c>
      <c r="AE18" s="932">
        <f t="shared" si="5"/>
        <v>472</v>
      </c>
      <c r="AF18" s="932">
        <f t="shared" si="5"/>
        <v>0</v>
      </c>
      <c r="AG18" s="932">
        <f t="shared" si="5"/>
        <v>0</v>
      </c>
      <c r="AH18" s="932">
        <f t="shared" si="5"/>
        <v>0</v>
      </c>
      <c r="AI18" s="932">
        <f t="shared" si="5"/>
        <v>0</v>
      </c>
      <c r="AJ18" s="932">
        <f t="shared" si="5"/>
        <v>160</v>
      </c>
      <c r="AK18" s="932">
        <f t="shared" si="5"/>
        <v>1465</v>
      </c>
      <c r="AL18" s="932">
        <f t="shared" si="5"/>
        <v>0</v>
      </c>
      <c r="AM18" s="932">
        <f t="shared" si="5"/>
        <v>0</v>
      </c>
      <c r="AN18" s="932">
        <f t="shared" si="5"/>
        <v>0</v>
      </c>
      <c r="AO18" s="934">
        <f>IF(ISNUMBER(((NºAsuntos!I18/NºAsuntos!G18)*11)/factor_trimestre),((NºAsuntos!I18/NºAsuntos!G18)*11)/factor_trimestre," - ")</f>
        <v>3.5946791862284826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2034</v>
      </c>
      <c r="G19" s="820">
        <f t="shared" si="7"/>
        <v>2176</v>
      </c>
      <c r="H19" s="821">
        <f t="shared" si="7"/>
        <v>0</v>
      </c>
      <c r="I19" s="820">
        <f t="shared" si="7"/>
        <v>0</v>
      </c>
      <c r="J19" s="822">
        <f t="shared" si="7"/>
        <v>0</v>
      </c>
      <c r="K19" s="820">
        <f t="shared" si="7"/>
        <v>0</v>
      </c>
      <c r="L19" s="823">
        <f t="shared" si="7"/>
        <v>0</v>
      </c>
      <c r="M19" s="820">
        <f t="shared" si="7"/>
        <v>0</v>
      </c>
      <c r="N19" s="821">
        <f t="shared" si="7"/>
        <v>320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1919</v>
      </c>
      <c r="Z19" s="827">
        <f t="shared" si="8"/>
        <v>424</v>
      </c>
      <c r="AA19" s="828">
        <f t="shared" si="8"/>
        <v>2345</v>
      </c>
      <c r="AB19" s="828">
        <f t="shared" si="8"/>
        <v>0</v>
      </c>
      <c r="AC19" s="828">
        <f t="shared" si="8"/>
        <v>0</v>
      </c>
      <c r="AD19" s="829">
        <f t="shared" si="8"/>
        <v>0</v>
      </c>
      <c r="AE19" s="829">
        <f t="shared" si="8"/>
        <v>5338</v>
      </c>
      <c r="AF19" s="830">
        <f t="shared" si="8"/>
        <v>0</v>
      </c>
      <c r="AG19" s="831">
        <f t="shared" si="8"/>
        <v>0</v>
      </c>
      <c r="AH19" s="832">
        <f t="shared" si="8"/>
        <v>0</v>
      </c>
      <c r="AI19" s="830">
        <f t="shared" si="8"/>
        <v>0</v>
      </c>
      <c r="AJ19" s="820">
        <f t="shared" si="8"/>
        <v>537</v>
      </c>
      <c r="AK19" s="820">
        <f t="shared" si="8"/>
        <v>2453</v>
      </c>
      <c r="AL19" s="820">
        <f t="shared" si="8"/>
        <v>0</v>
      </c>
      <c r="AM19" s="833">
        <f t="shared" si="8"/>
        <v>0</v>
      </c>
      <c r="AN19" s="823">
        <f>IF(ISNUMBER(Datos!K19/Datos!J19),Datos!K19/Datos!J19," - ")</f>
        <v>0.83293894936109791</v>
      </c>
      <c r="AO19" s="823">
        <f>IF(ISNUMBER(FIND("06",Criterios!A8,1)),(IF(ISNUMBER(((Datos!R19/Datos!Q19)*11)/factor_trimestre),((Datos!R19/Datos!Q19)*11)/factor_trimestre," - ")),(IF(ISNUMBER(((Datos!L19/Datos!K19)*11)/factor_trimestre),((Datos!L19/Datos!K19)*11)/factor_trimestre," - ")))</f>
        <v>5.3011363636363642</v>
      </c>
      <c r="AP19" s="834" t="str">
        <f>IF(ISNUMBER(Datos!CI19/Datos!CJ19),Datos!CI19/Datos!CJ19," - ")</f>
        <v xml:space="preserve"> - </v>
      </c>
      <c r="AQ19" s="834">
        <f>IF(OR(ISNUMBER(FIND("01",Criterios!A8,1)),ISNUMBER(FIND("02",Criterios!A8,1)),ISNUMBER(FIND("03",Criterios!A8,1)),ISNUMBER(FIND("04",Criterios!A8,1))),(J19-Y19+K19)/(F19-K19),(I19-Y19+K19)/(F19-K19))</f>
        <v>-0.94346116027531957</v>
      </c>
      <c r="AR19" s="834">
        <f>IF(ISNUMBER((Datos!P19-Datos!Q19+O19)/(Datos!R19-Datos!P19+Datos!Q19-O19)),(Datos!P19-Datos!Q19+O19)/(Datos!R19-Datos!P19+Datos!Q19-O19)," - ")</f>
        <v>-1.9110621095185593E-2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1118.9048216894948</v>
      </c>
      <c r="G21" s="552">
        <f>IF(ISNUMBER(STDEV(G8:G18)),STDEV(G8:G18),"-")</f>
        <v>1084.2051466396938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168.68313490091415</v>
      </c>
      <c r="AK21" s="252"/>
      <c r="AL21" s="252">
        <f>IF(ISNUMBER(STDEV(AL8:AL18)),STDEV(AL8:AL18),"-")</f>
        <v>0</v>
      </c>
      <c r="AM21" s="254">
        <f>IF(ISNUMBER(STDEV(AM8:AM18)),STDEV(AM8:AM18),"-")</f>
        <v>0</v>
      </c>
      <c r="AN21" s="539">
        <f>IF(ISNUMBER(STDEV(AN8:AN18)),STDEV(AN8:AN18),"-")</f>
        <v>0</v>
      </c>
      <c r="AO21" s="540">
        <f>IF(ISNUMBER(STDEV(AO8:AO18)),STDEV(AO8:AO18),"-")</f>
        <v>27.355198443123879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9U0zxW8hAu+o8PnxNg6oMyLvkwuPoRmchx8HbDhB1SCvCEu1K8HNtbtc+0pCTbYe4QGyir2OrCkBDgS7sa/wg==" saltValue="NzqkyzblyRTtCzsfTzAMN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W0KjLxeROj70JlwIoU8m4P34XwcHPc9T3GvwD0iaH7brd3XQRIJXfuspqErcUMzpXDU+ewI73pFCVRMYbZarw==" saltValue="Vo84RSpMXYjS8D0X0dnA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9G0k4qGem6/FEBi4MbMhdDdi8ecJq3wSXHA+c5xSYQiT+gmUm+H36temDkK5a3ogxFsiMbfRCTs29NlO53IXA==" saltValue="KnA9C3fiCnNz+zBfTXfVk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0.18821767348976534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0.13308999326376855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KfceCiZ6RJlawxt2lOgpvIl71OzT7ro1BwN+Og+kcD2YbXPT+llDyDwaDOdRv3qXL/xQiY+MIi2NWGKwwtKcw==" saltValue="sI/dC0Q7QglbNBAHju4JC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kaYD+BAoSpzfMXUOxpHej/TTBdAahlQtm9Oi2MXPkpsyEpI1TSDER5jPQnuZqvKsvgs1Y8dQBQHuR2tCtfrWsA==" saltValue="AFtN6vsKulAiaumX3fVb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 BOI DE LLOBREGAT</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48</v>
      </c>
      <c r="D10" s="404">
        <f>IF(ISNUMBER(C10/Datos!BH10),C10/Datos!BH10," - ")</f>
        <v>48</v>
      </c>
      <c r="E10" s="403">
        <f>IF(ISNUMBER(Datos!J10),Datos!J10," - ")</f>
        <v>2</v>
      </c>
      <c r="F10" s="404">
        <f>IF(ISNUMBER(E10/B10),E10/B10," - ")</f>
        <v>2</v>
      </c>
      <c r="G10" s="403">
        <f>IF(ISNUMBER(Datos!K10),Datos!K10," - ")</f>
        <v>2</v>
      </c>
      <c r="H10" s="404">
        <f>IF(ISNUMBER(G10/B10),G10/B10," - ")</f>
        <v>2</v>
      </c>
      <c r="I10" s="403">
        <f>IF(ISNUMBER(Datos!L10),Datos!L10," - ")</f>
        <v>48</v>
      </c>
      <c r="J10" s="404">
        <f>IF(ISNUMBER(I10/B10),I10/B10," - ")</f>
        <v>48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3501</v>
      </c>
      <c r="D12" s="404">
        <f>IF(ISNUMBER(C12/Datos!BH12),C12/Datos!BH12," - ")</f>
        <v>583.5</v>
      </c>
      <c r="E12" s="403">
        <f>IF(ISNUMBER(IF(J_V="SI",Datos!J12,Datos!J12+Datos!Z12)),IF(J_V="SI",Datos!J12,Datos!J12+Datos!Z12)," - ")</f>
        <v>2547</v>
      </c>
      <c r="F12" s="404">
        <f>IF(ISNUMBER(E12/B12),E12/B12," - ")</f>
        <v>424.5</v>
      </c>
      <c r="G12" s="403">
        <f>IF(ISNUMBER(IF(J_V="SI",Datos!K12,Datos!K12+Datos!AA12)),IF(J_V="SI",Datos!K12,Datos!K12+Datos!AA12)," - ")</f>
        <v>2001</v>
      </c>
      <c r="H12" s="404">
        <f>IF(ISNUMBER(G12/B12),G12/B12," - ")</f>
        <v>333.5</v>
      </c>
      <c r="I12" s="403">
        <f>IF(ISNUMBER(IF(J_V="SI",Datos!L12,Datos!L12+Datos!AB12)),IF(J_V="SI",Datos!L12,Datos!L12+Datos!AB12)," - ")</f>
        <v>4047</v>
      </c>
      <c r="J12" s="404">
        <f>IF(ISNUMBER(I12/B12),I12/B12," - ")</f>
        <v>674.5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3549</v>
      </c>
      <c r="D13" s="850" t="str">
        <f>IF(ISNUMBER(C13/Datos!BI13),C13/Datos!BI13," - ")</f>
        <v xml:space="preserve"> - </v>
      </c>
      <c r="E13" s="849">
        <f>SUBTOTAL(9,E8:E12)</f>
        <v>2549</v>
      </c>
      <c r="F13" s="850">
        <f>IF(ISNUMBER(E13/B13),E13/B13," - ")</f>
        <v>424.83333333333331</v>
      </c>
      <c r="G13" s="849">
        <f>SUBTOTAL(9,G8:G12)</f>
        <v>2003</v>
      </c>
      <c r="H13" s="850">
        <f>IF(ISNUMBER(G13/B13),G13/B13," - ")</f>
        <v>333.83333333333331</v>
      </c>
      <c r="I13" s="849">
        <f>SUBTOTAL(9,I8:I12)</f>
        <v>4095</v>
      </c>
      <c r="J13" s="850">
        <f>IF(ISNUMBER(I13/B13),I13/B13," - ")</f>
        <v>682.5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1984</v>
      </c>
      <c r="D16" s="404">
        <f>IF(ISNUMBER(C16/Datos!BH16),C16/Datos!BH16," - ")</f>
        <v>330.66666666666669</v>
      </c>
      <c r="E16" s="403">
        <f>IF(ISNUMBER(IF(D_I="SI",Datos!J16,Datos!J16+Datos!AD16)),IF(D_I="SI",Datos!J16,Datos!J16+Datos!AD16)," - ")</f>
        <v>1978</v>
      </c>
      <c r="F16" s="404">
        <f>IF(ISNUMBER(E16/B16),E16/B16," - ")</f>
        <v>329.66666666666669</v>
      </c>
      <c r="G16" s="403">
        <f>IF(ISNUMBER(IF(D_I="SI",Datos!K16,Datos!K16+Datos!AE16)),IF(D_I="SI",Datos!K16,Datos!K16+Datos!AE16)," - ")</f>
        <v>1834</v>
      </c>
      <c r="H16" s="404">
        <f>IF(ISNUMBER(G16/B16),G16/B16," - ")</f>
        <v>305.66666666666669</v>
      </c>
      <c r="I16" s="403">
        <f>IF(ISNUMBER(IF(D_I="SI",Datos!L16,Datos!L16+Datos!AF16)),IF(D_I="SI",Datos!L16,Datos!L16+Datos!AF16)," - ")</f>
        <v>2130</v>
      </c>
      <c r="J16" s="404">
        <f>IF(ISNUMBER(I16/B16),I16/B16," - ")</f>
        <v>355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144</v>
      </c>
      <c r="D17" s="404">
        <f>IF(ISNUMBER(C17/Datos!BH17),C17/Datos!BH17," - ")</f>
        <v>144</v>
      </c>
      <c r="E17" s="403">
        <f>IF(ISNUMBER(IF(D_I="SI",Datos!J17,Datos!J17+Datos!AD17)),IF(D_I="SI",Datos!J17,Datos!J17+Datos!AD17)," - ")</f>
        <v>106</v>
      </c>
      <c r="F17" s="404">
        <f>IF(ISNUMBER(E17/B17),E17/B17," - ")</f>
        <v>106</v>
      </c>
      <c r="G17" s="403">
        <f>IF(ISNUMBER(IF(D_I="SI",Datos!K17,Datos!K17+Datos!AE17)),IF(D_I="SI",Datos!K17,Datos!K17+Datos!AE17)," - ")</f>
        <v>83</v>
      </c>
      <c r="H17" s="404">
        <f>IF(ISNUMBER(G17/B17),G17/B17," - ")</f>
        <v>83</v>
      </c>
      <c r="I17" s="403">
        <f>IF(ISNUMBER(IF(D_I="SI",Datos!L17,Datos!L17+Datos!AF17)),IF(D_I="SI",Datos!L17,Datos!L17+Datos!AF17)," - ")</f>
        <v>167</v>
      </c>
      <c r="J17" s="404">
        <f>IF(ISNUMBER(I17/B17),I17/B17," - ")</f>
        <v>167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2128</v>
      </c>
      <c r="D18" s="850" t="str">
        <f>IF(ISNUMBER(C18/Datos!BI18),C18/Datos!BI18," - ")</f>
        <v xml:space="preserve"> - </v>
      </c>
      <c r="E18" s="849">
        <f>SUBTOTAL(9,E14:E17)</f>
        <v>2084</v>
      </c>
      <c r="F18" s="850">
        <f>IF(ISNUMBER(E18/B18),E18/B18," - ")</f>
        <v>347.33333333333331</v>
      </c>
      <c r="G18" s="849">
        <f>SUBTOTAL(9,G14:G17)</f>
        <v>1917</v>
      </c>
      <c r="H18" s="850">
        <f>IF(ISNUMBER(G18/B18),G18/B18," - ")</f>
        <v>319.5</v>
      </c>
      <c r="I18" s="849">
        <f>SUBTOTAL(9,I14:I17)</f>
        <v>2297</v>
      </c>
      <c r="J18" s="850">
        <f>IF(ISNUMBER(I18/B18),I18/B18," - ")</f>
        <v>382.83333333333331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5677</v>
      </c>
      <c r="D19" s="795" t="str">
        <f>IF(ISNUMBER(C19/Datos!BI19),C19/Datos!BI19," - ")</f>
        <v xml:space="preserve"> - </v>
      </c>
      <c r="E19" s="794">
        <f>SUBTOTAL(9,E9:E18)</f>
        <v>4633</v>
      </c>
      <c r="F19" s="795">
        <f>IF(ISNUMBER(E19/B19),E19/B19," - ")</f>
        <v>772.16666666666663</v>
      </c>
      <c r="G19" s="794">
        <f>SUBTOTAL(9,G9:G18)</f>
        <v>3920</v>
      </c>
      <c r="H19" s="795">
        <f>IF(ISNUMBER(G19/B19),G19/B19," - ")</f>
        <v>653.33333333333337</v>
      </c>
      <c r="I19" s="794">
        <f>SUBTOTAL(9,I9:I18)</f>
        <v>6392</v>
      </c>
      <c r="J19" s="795">
        <f>IF(ISNUMBER(I19/B19),I19/B19," - ")</f>
        <v>1065.3333333333333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gK8OBju5OoiZa/Y/Z5wrjHCcHpiBAqk8jSOfSh8eqymVl1ngmOtpv409h25X9vRfD54zk/Q0W1Ar/+XOlcH+kg==" saltValue="WUi2C4asJKtwKw4a7Clc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 BOI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48</v>
      </c>
      <c r="G10" s="684">
        <f>IF(ISNUMBER(Datos!I10),Datos!I10," - ")</f>
        <v>48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48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72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377</v>
      </c>
      <c r="AM12" s="690">
        <f>IF(ISNUMBER(Datos!N12+DatosP!N16),Datos!N12+DatosP!N16," - ")</f>
        <v>987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6.0674662668665675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-1.5484922575387123E-2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48</v>
      </c>
      <c r="G13" s="938">
        <f t="shared" si="0"/>
        <v>48</v>
      </c>
      <c r="H13" s="938">
        <f t="shared" si="0"/>
        <v>0</v>
      </c>
      <c r="I13" s="940">
        <f t="shared" si="0"/>
        <v>0</v>
      </c>
      <c r="J13" s="939">
        <f t="shared" si="0"/>
        <v>0</v>
      </c>
      <c r="K13" s="939">
        <f t="shared" si="0"/>
        <v>0</v>
      </c>
      <c r="L13" s="941">
        <f t="shared" si="0"/>
        <v>0</v>
      </c>
      <c r="M13" s="941">
        <f t="shared" si="0"/>
        <v>0</v>
      </c>
      <c r="N13" s="939">
        <f t="shared" si="0"/>
        <v>291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367</v>
      </c>
      <c r="AE13" s="939">
        <f t="shared" si="1"/>
        <v>0</v>
      </c>
      <c r="AF13" s="939">
        <f t="shared" si="1"/>
        <v>48</v>
      </c>
      <c r="AG13" s="939">
        <f t="shared" si="1"/>
        <v>0</v>
      </c>
      <c r="AH13" s="939">
        <f t="shared" si="1"/>
        <v>4832</v>
      </c>
      <c r="AI13" s="939">
        <f t="shared" si="1"/>
        <v>0</v>
      </c>
      <c r="AJ13" s="939">
        <f t="shared" si="1"/>
        <v>0</v>
      </c>
      <c r="AK13" s="939">
        <f t="shared" si="1"/>
        <v>0</v>
      </c>
      <c r="AL13" s="939">
        <f t="shared" si="1"/>
        <v>377</v>
      </c>
      <c r="AM13" s="939">
        <f t="shared" si="1"/>
        <v>988</v>
      </c>
      <c r="AN13" s="939">
        <f t="shared" si="1"/>
        <v>0</v>
      </c>
      <c r="AO13" s="939">
        <f t="shared" si="1"/>
        <v>0</v>
      </c>
      <c r="AP13" s="944">
        <f>IF(ISNUMBER(((Datos!L13/Datos!K13)*11)/factor_trimestre),((Datos!L13/Datos!K13)*11)/factor_trimestre," - ")</f>
        <v>7.3418590143480982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-4.1666666666666664E-2</v>
      </c>
      <c r="AU13" s="939" t="str">
        <f>IF(ISNUMBER((DatosP!#REF!-DatosP!#REF!+DatosP!#REF!)/(DatosP!#REF!+DatosP!#REF!-DatosP!#REF!-DatosP!#REF!)),(DatosP!#REF!-DatosP!#REF!+DatosP!#REF!)/(DatosP!#REF!+DatosP!#REF!-DatosP!#REF!-DatosP!#REF!)," - ")</f>
        <v xml:space="preserve"> - </v>
      </c>
      <c r="AV13" s="945">
        <f>SUBTOTAL(9,AV9:AV12)</f>
        <v>-1.5484922575387123E-2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3.5946791862284826</v>
      </c>
      <c r="AQ18" s="944">
        <f>IF(ISNUMBER(((Datos!M18/Datos!L18)*11)/factor_trimestre),((Datos!M18/Datos!L18)*11)/factor_trimestre," - ")</f>
        <v>0.20896821941663038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-5.6000000000000001E-2</v>
      </c>
      <c r="AW18" s="946">
        <f>IF(ISNUMBER((Datos!Q18-Datos!R18)/(Datos!S18-Datos!Q18+Datos!R18)),(Datos!Q18-Datos!R18)/(Datos!S18-Datos!Q18+Datos!R18)," - ")</f>
        <v>-0.20106589147286821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48</v>
      </c>
      <c r="G19" s="951">
        <f t="shared" si="4"/>
        <v>48</v>
      </c>
      <c r="H19" s="951">
        <f t="shared" si="4"/>
        <v>0</v>
      </c>
      <c r="I19" s="952">
        <f t="shared" si="4"/>
        <v>0</v>
      </c>
      <c r="J19" s="953">
        <f t="shared" si="4"/>
        <v>0</v>
      </c>
      <c r="K19" s="953">
        <f t="shared" si="4"/>
        <v>0</v>
      </c>
      <c r="L19" s="953">
        <f t="shared" si="4"/>
        <v>0</v>
      </c>
      <c r="M19" s="953">
        <f t="shared" si="4"/>
        <v>0</v>
      </c>
      <c r="N19" s="952">
        <f t="shared" si="4"/>
        <v>291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367</v>
      </c>
      <c r="AE19" s="957">
        <f t="shared" si="5"/>
        <v>0</v>
      </c>
      <c r="AF19" s="958">
        <f t="shared" si="5"/>
        <v>48</v>
      </c>
      <c r="AG19" s="958">
        <f t="shared" si="5"/>
        <v>0</v>
      </c>
      <c r="AH19" s="958">
        <f t="shared" si="5"/>
        <v>4832</v>
      </c>
      <c r="AI19" s="958">
        <f t="shared" si="5"/>
        <v>0</v>
      </c>
      <c r="AJ19" s="959">
        <f t="shared" si="5"/>
        <v>0</v>
      </c>
      <c r="AK19" s="959">
        <f t="shared" si="5"/>
        <v>0</v>
      </c>
      <c r="AL19" s="951">
        <f t="shared" si="5"/>
        <v>377</v>
      </c>
      <c r="AM19" s="951">
        <f t="shared" si="5"/>
        <v>988</v>
      </c>
      <c r="AN19" s="951">
        <f t="shared" si="5"/>
        <v>0</v>
      </c>
      <c r="AO19" s="951">
        <f t="shared" si="5"/>
        <v>0</v>
      </c>
      <c r="AP19" s="951">
        <f>IF(ISNUMBER(((Datos!L19/Datos!K19)*11)/factor_trimestre),((Datos!L19/Datos!K19)*11)/factor_trimestre," - ")</f>
        <v>5.3011363636363642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-4.1666666666666664E-2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-1.9110621095185593E-2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27.712812921102035</v>
      </c>
      <c r="G21" s="737">
        <f>IF(ISNUMBER(STDEV(G8:G18)),STDEV(G8:G18),"-")</f>
        <v>27.712812921102035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217.66105148448892</v>
      </c>
      <c r="AM21" s="736"/>
      <c r="AN21" s="736">
        <f>IF(ISNUMBER(STDEV(AN8:AN18)),STDEV(AN8:AN18),"-")</f>
        <v>0</v>
      </c>
      <c r="AO21" s="742">
        <f>IF(ISNUMBER(STDEV(AO8:AO18)),STDEV(AO8:AO18),"-")</f>
        <v>0</v>
      </c>
      <c r="AP21" s="779">
        <f>IF(ISNUMBER(STDEV(AP8:AP18)),STDEV(AP8:AP18),"-")</f>
        <v>33.202462540841111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l4W60InJ9i7XbTunDZ2X3MuJTVJgBmhMGsVjSzszK3UHngyT0VTu+hmy5fFfaPxq7aZhs34PfiG7lhAwcUkXLw==" saltValue="JvX8vQBvyqZAD+EB4rdji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 BOI DE LLOBREGAT</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I3N07iYfc6UQEHYGnOQYS04f5PwVTPXxc9mNuGjOybi67zZ9dLIv3jwpc/3Zt2gTuUcubLhVWVVrLYDPAnig==" saltValue="MxZWDOnSrT+Roxwq5qSo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 BOI DE LLOBREGAT</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377</v>
      </c>
      <c r="E12" s="404">
        <f t="shared" si="0"/>
        <v>62.833333333333336</v>
      </c>
      <c r="F12" s="403">
        <f>IF(ISNUMBER(Datos!N12),Datos!N12," - ")</f>
        <v>987</v>
      </c>
      <c r="G12" s="404">
        <f t="shared" si="1"/>
        <v>164.5</v>
      </c>
      <c r="H12" s="403">
        <f>IF(ISNUMBER(Datos!O12),Datos!O12," - ")</f>
        <v>609</v>
      </c>
      <c r="I12" s="404">
        <f t="shared" si="2"/>
        <v>101.5</v>
      </c>
      <c r="BZ12" s="1186">
        <f>Datos!EZ12</f>
        <v>0</v>
      </c>
    </row>
    <row r="13" spans="1:78" ht="14.25" thickTop="1" thickBot="1">
      <c r="A13" s="848" t="str">
        <f>Datos!A13</f>
        <v>TOTAL</v>
      </c>
      <c r="B13" s="849">
        <f>Datos!AP13</f>
        <v>6</v>
      </c>
      <c r="C13" s="851">
        <f>Datos!AR13</f>
        <v>6</v>
      </c>
      <c r="D13" s="849">
        <f>SUBTOTAL(9,D9:D12)</f>
        <v>377</v>
      </c>
      <c r="E13" s="850">
        <f t="shared" si="0"/>
        <v>62.833333333333336</v>
      </c>
      <c r="F13" s="849">
        <f>SUBTOTAL(9,F9:F12)</f>
        <v>988</v>
      </c>
      <c r="G13" s="850">
        <f t="shared" si="1"/>
        <v>164.66666666666666</v>
      </c>
      <c r="H13" s="849">
        <f>SUBTOTAL(9,H9:H12)</f>
        <v>609</v>
      </c>
      <c r="I13" s="850">
        <f>IF(ISNUMBER(H13/B13),H13/B13," - ")</f>
        <v>101.5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157</v>
      </c>
      <c r="E16" s="404">
        <f t="shared" si="3"/>
        <v>26.166666666666668</v>
      </c>
      <c r="F16" s="403">
        <f>IF(ISNUMBER(Datos!N16),Datos!N16," - ")</f>
        <v>1416</v>
      </c>
      <c r="G16" s="404">
        <f t="shared" si="4"/>
        <v>236</v>
      </c>
      <c r="H16" s="403">
        <f>IF(ISNUMBER(Datos!O16),Datos!O16," - ")</f>
        <v>3</v>
      </c>
      <c r="I16" s="404">
        <f t="shared" si="5"/>
        <v>0.5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49</v>
      </c>
      <c r="G17" s="404">
        <f>IF(ISNUMBER(F17/B17),F17/B17," - ")</f>
        <v>49</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160</v>
      </c>
      <c r="E18" s="850">
        <f t="shared" si="3"/>
        <v>26.666666666666668</v>
      </c>
      <c r="F18" s="849">
        <f>SUBTOTAL(9,F15:F17)</f>
        <v>1465</v>
      </c>
      <c r="G18" s="850">
        <f t="shared" si="4"/>
        <v>244.16666666666666</v>
      </c>
      <c r="H18" s="849">
        <f>SUBTOTAL(9,H15:H17)</f>
        <v>3</v>
      </c>
      <c r="I18" s="850">
        <f>IF(ISNUMBER(H18/B18),H18/B18," - ")</f>
        <v>0.5</v>
      </c>
      <c r="BZ18" s="1186"/>
    </row>
    <row r="19" spans="1:78" ht="14.25" thickTop="1" thickBot="1">
      <c r="A19" s="793" t="str">
        <f>Datos!A19</f>
        <v>TOTAL JURISDICCIONES</v>
      </c>
      <c r="B19" s="794">
        <f>Datos!AP19</f>
        <v>6</v>
      </c>
      <c r="C19" s="794">
        <f>Datos!AR19</f>
        <v>6</v>
      </c>
      <c r="D19" s="794">
        <f>SUBTOTAL(9,D8:D18)</f>
        <v>537</v>
      </c>
      <c r="E19" s="795">
        <f>IF(ISNUMBER(D19/B19),D19/B19," - ")</f>
        <v>89.5</v>
      </c>
      <c r="F19" s="794">
        <f>SUBTOTAL(9,F8:F18)</f>
        <v>2453</v>
      </c>
      <c r="G19" s="795">
        <f>IF(ISNUMBER(F19/B19),F19/B19," - ")</f>
        <v>408.83333333333331</v>
      </c>
      <c r="H19" s="794">
        <f>SUBTOTAL(9,H8:H18)</f>
        <v>612</v>
      </c>
      <c r="I19" s="795">
        <f>IF(ISNUMBER(H19/B19),H19/B19," - ")</f>
        <v>102</v>
      </c>
    </row>
    <row r="22" spans="1:78">
      <c r="A22" s="391" t="str">
        <f>Criterios!A4</f>
        <v>Fecha Informe: 03 jun. 2025</v>
      </c>
    </row>
    <row r="27" spans="1:78">
      <c r="A27" s="414"/>
    </row>
  </sheetData>
  <sheetProtection algorithmName="SHA-512" hashValue="ph2KrshmJP4GIv/0xpRydZZxHFq0u3tXZz/lSh5z9uLR6+MD8eDJc+D/wNi617WI2OgwHhK6HO0CQwV77Ktd1Q==" saltValue="rE7nFaxOTByx1sPBDObh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 BOI DE LLOBREGAT</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291</v>
      </c>
      <c r="C12" s="434">
        <f>IF(ISNUMBER(Datos!Q12),Datos!Q12," - ")</f>
        <v>367</v>
      </c>
      <c r="D12" s="408">
        <f>IF(ISNUMBER(Datos!R12),Datos!R12," - ")</f>
        <v>4832</v>
      </c>
    </row>
    <row r="13" spans="1:4" ht="14.25" thickTop="1" thickBot="1">
      <c r="A13" s="848" t="str">
        <f>Datos!A13</f>
        <v>TOTAL</v>
      </c>
      <c r="B13" s="849">
        <f>SUBTOTAL(9,B9:B12)</f>
        <v>291</v>
      </c>
      <c r="C13" s="853">
        <f>SUBTOTAL(9,C9:C12)</f>
        <v>367</v>
      </c>
      <c r="D13" s="851">
        <f>SUBTOTAL(9,D9:D12)</f>
        <v>4866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57</v>
      </c>
      <c r="D16" s="408">
        <f>IF(ISNUMBER(Datos!R16),Datos!R16," - ")</f>
        <v>466</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29</v>
      </c>
      <c r="C18" s="853">
        <f>SUBTOTAL(9,C15:C17)</f>
        <v>57</v>
      </c>
      <c r="D18" s="851">
        <f>SUBTOTAL(9,D15:D17)</f>
        <v>472</v>
      </c>
    </row>
    <row r="19" spans="1:4" ht="16.5" customHeight="1" thickTop="1" thickBot="1">
      <c r="A19" s="793" t="str">
        <f>Datos!A19</f>
        <v>TOTAL JURISDICCIONES</v>
      </c>
      <c r="B19" s="798">
        <f>SUBTOTAL(9,B8:B18)</f>
        <v>320</v>
      </c>
      <c r="C19" s="799">
        <f>SUBTOTAL(9,C8:C18)</f>
        <v>424</v>
      </c>
      <c r="D19" s="800">
        <f>SUBTOTAL(9,D8:D18)</f>
        <v>5338</v>
      </c>
    </row>
    <row r="20" spans="1:4" ht="7.5" customHeight="1"/>
    <row r="21" spans="1:4" ht="6" customHeight="1"/>
    <row r="22" spans="1:4">
      <c r="A22" s="391" t="str">
        <f>Criterios!A4</f>
        <v>Fecha Informe: 03 jun. 2025</v>
      </c>
    </row>
    <row r="27" spans="1:4">
      <c r="A27" s="414"/>
    </row>
  </sheetData>
  <sheetProtection algorithmName="SHA-512" hashValue="7p4vfR77EoNNpZyZxVRL+MNIJ7jsMKkYIsUPkeNYzGsvNv9LUYYQbtAp1mTeLy5MkHqqwIdd0RoLCFia/Gld3g==" saltValue="QeIXw83mk07UqcVLnULa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 BOI DE LLOBREGAT</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0.41176470588235292</v>
      </c>
      <c r="C10" s="456">
        <f>IF(ISNUMBER((Datos!J10-Datos!T10)/Datos!T10),(Datos!J10-Datos!T10)/Datos!T10," - ")</f>
        <v>-0.83333333333333337</v>
      </c>
      <c r="D10" s="456">
        <f>IF(ISNUMBER((Datos!K10-Datos!U10)/Datos!U10),(Datos!K10-Datos!U10)/Datos!U10," - ")</f>
        <v>-0.8</v>
      </c>
      <c r="E10" s="456">
        <f>IF(ISNUMBER((Datos!L10-Datos!V10)/Datos!V10),(Datos!L10-Datos!V10)/Datos!V10," - ")</f>
        <v>0.33333333333333331</v>
      </c>
      <c r="F10" s="456">
        <f>IF(ISNUMBER((Datos!M10-Datos!W10)/Datos!W10),(Datos!M10-Datos!W10)/Datos!W10," - ")</f>
        <v>-1</v>
      </c>
      <c r="G10" s="457">
        <f>IF(ISNUMBER((Datos!N10-Datos!X10)/Datos!X10),(Datos!N10-Datos!X10)/Datos!X10," - ")</f>
        <v>-0.75</v>
      </c>
      <c r="H10" s="455">
        <f>IF(ISNUMBER(((NºAsuntos!G10/NºAsuntos!E10)-Datos!BD10)/Datos!BD10),((NºAsuntos!G10/NºAsuntos!E10)-Datos!BD10)/Datos!BD10," - ")</f>
        <v>0.19999999999999996</v>
      </c>
      <c r="I10" s="456">
        <f>IF(ISNUMBER(((NºAsuntos!I10/NºAsuntos!G10)-Datos!BE10)/Datos!BE10),((NºAsuntos!I10/NºAsuntos!G10)-Datos!BE10)/Datos!BE10," - ")</f>
        <v>5.6666666666666661</v>
      </c>
      <c r="J10" s="461">
        <f>IF(ISNUMBER((('Resol  Asuntos'!D10/NºAsuntos!G10)-Datos!BF10)/Datos!BF10),(('Resol  Asuntos'!D10/NºAsuntos!G10)-Datos!BF10)/Datos!BF10," - ")</f>
        <v>-1</v>
      </c>
      <c r="K10" s="462">
        <f>IF(ISNUMBER((((NºAsuntos!C10+NºAsuntos!E10)/NºAsuntos!G10)-Datos!BG10)/Datos!BG10),(((NºAsuntos!C10+NºAsuntos!E10)/NºAsuntos!G10)-Datos!BG10)/Datos!BG10," - ")</f>
        <v>4.4347826086956523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9.8067493510239408E-3</v>
      </c>
      <c r="C12" s="456">
        <f>IF(ISNUMBER(
   IF(J_V="SI",(Datos!J12-Datos!T12)/Datos!T12,(Datos!J12+Datos!Z12-(Datos!T12+Datos!AH12))/(Datos!T12+Datos!AH12))
     ),IF(J_V="SI",(Datos!J12-Datos!T12)/Datos!T12,(Datos!J12+Datos!Z12-(Datos!T12+Datos!AH12))/(Datos!T12+Datos!AH12))," - ")</f>
        <v>0.45210946408209807</v>
      </c>
      <c r="D12" s="456">
        <f>IF(ISNUMBER(
   IF(J_V="SI",(Datos!K12-Datos!U12)/Datos!U12,(Datos!K12+Datos!AA12-(Datos!U12+Datos!AI12))/(Datos!U12+Datos!AI12))
     ),IF(J_V="SI",(Datos!K12-Datos!U12)/Datos!U12,(Datos!K12+Datos!AA12-(Datos!U12+Datos!AI12))/(Datos!U12+Datos!AI12))," - ")</f>
        <v>0.17223198594024605</v>
      </c>
      <c r="E12" s="456">
        <f>IF(ISNUMBER(
   IF(J_V="SI",(Datos!L12-Datos!V12)/Datos!V12,(Datos!L12+Datos!AB12-(Datos!V12+Datos!AJ12))/(Datos!V12+Datos!AJ12))
     ),IF(J_V="SI",(Datos!L12-Datos!V12)/Datos!V12,(Datos!L12+Datos!AB12-(Datos!V12+Datos!AJ12))/(Datos!V12+Datos!AJ12))," - ")</f>
        <v>0.15167899829254411</v>
      </c>
      <c r="F12" s="456">
        <f>IF(ISNUMBER((Datos!M12-Datos!W12)/Datos!W12),(Datos!M12-Datos!W12)/Datos!W12," - ")</f>
        <v>0.20063694267515925</v>
      </c>
      <c r="G12" s="457">
        <f>IF(ISNUMBER((Datos!N12-Datos!X12)/Datos!X12),(Datos!N12-Datos!X12)/Datos!X12," - ")</f>
        <v>0.18629807692307693</v>
      </c>
      <c r="H12" s="455">
        <f>IF(ISNUMBER(((NºAsuntos!G12/NºAsuntos!E12)-Datos!BD12)/Datos!BD12),((NºAsuntos!G12/NºAsuntos!E12)-Datos!BD12)/Datos!BD12," - ")</f>
        <v>-0.19273855385190744</v>
      </c>
      <c r="I12" s="456">
        <f>IF(ISNUMBER(((NºAsuntos!I12/NºAsuntos!G12)-Datos!BE12)/Datos!BE12),((NºAsuntos!I12/NºAsuntos!G12)-Datos!BE12)/Datos!BE12," - ")</f>
        <v>-1.7533208353137056E-2</v>
      </c>
      <c r="J12" s="461">
        <f>IF(ISNUMBER((('Resol  Asuntos'!D12/NºAsuntos!G12)-Datos!BF12)/Datos!BF12),(('Resol  Asuntos'!D12/NºAsuntos!G12)-Datos!BF12)/Datos!BF12," - ")</f>
        <v>-0.61345108695652173</v>
      </c>
      <c r="K12" s="462">
        <f>IF(ISNUMBER((((NºAsuntos!C12+NºAsuntos!E12)/NºAsuntos!G12)-Datos!BG12)/Datos!BG12),(((NºAsuntos!C12+NºAsuntos!E12)/NºAsuntos!G12)-Datos!BG12)/Datos!BG12," - ")</f>
        <v>-1.1800745863421492E-2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1.3710368466152529E-2</v>
      </c>
      <c r="C13" s="855">
        <f>IF(ISNUMBER(
   IF(J_V="SI",(Datos!J13-Datos!T13)/Datos!T13,(Datos!J13+Datos!Z13-(Datos!T13+Datos!AH13))/(Datos!T13+Datos!AH13))
     ),IF(J_V="SI",(Datos!J13-Datos!T13)/Datos!T13,(Datos!J13+Datos!Z13-(Datos!T13+Datos!AH13))/(Datos!T13+Datos!AH13))," - ")</f>
        <v>0.44337485843714608</v>
      </c>
      <c r="D13" s="855">
        <f>IF(ISNUMBER(
   IF(J_V="SI",(Datos!K13-Datos!U13)/Datos!U13,(Datos!K13+Datos!AA13-(Datos!U13+Datos!AI13))/(Datos!U13+Datos!AI13))
     ),IF(J_V="SI",(Datos!K13-Datos!U13)/Datos!U13,(Datos!K13+Datos!AA13-(Datos!U13+Datos!AI13))/(Datos!U13+Datos!AI13))," - ")</f>
        <v>0.16656959813628422</v>
      </c>
      <c r="E13" s="855">
        <f>IF(ISNUMBER(
   IF(J_V="SI",(Datos!L13-Datos!V13)/Datos!V13,(Datos!L13+Datos!AB13-(Datos!V13+Datos!AJ13))/(Datos!V13+Datos!AJ13))
     ),IF(J_V="SI",(Datos!L13-Datos!V13)/Datos!V13,(Datos!L13+Datos!AB13-(Datos!V13+Datos!AJ13))/(Datos!V13+Datos!AJ13))," - ")</f>
        <v>0.15352112676056337</v>
      </c>
      <c r="F13" s="856">
        <f>IF(ISNUMBER((Datos!M13-Datos!W13)/Datos!W13),(Datos!M13-Datos!W13)/Datos!W13," - ")</f>
        <v>0.17445482866043613</v>
      </c>
      <c r="G13" s="857">
        <f>IF(ISNUMBER((Datos!N13-Datos!X13)/Datos!X13),(Datos!N13-Datos!X13)/Datos!X13," - ")</f>
        <v>0.18181818181818182</v>
      </c>
      <c r="H13" s="857">
        <f>IF(ISNUMBER(((NºAsuntos!G13/NºAsuntos!E13)-Datos!BD13)/Datos!BD13),((NºAsuntos!G13/NºAsuntos!E13)-Datos!BD13)/Datos!BD13," - ")</f>
        <v>-0.19177641808211934</v>
      </c>
      <c r="I13" s="857">
        <f>IF(ISNUMBER(((NºAsuntos!I13/NºAsuntos!G13)-Datos!BE13)/Datos!BE13),((NºAsuntos!I13/NºAsuntos!G13)-Datos!BE13)/Datos!BE13," - ")</f>
        <v>-1.1185334674045292E-2</v>
      </c>
      <c r="J13" s="857">
        <f>IF(ISNUMBER((('Resol  Asuntos'!D13/NºAsuntos!G13)-Datos!BF13)/Datos!BF13),(('Resol  Asuntos'!D13/NºAsuntos!G13)-Datos!BF13)/Datos!BF13," - ")</f>
        <v>-0.61481555973548618</v>
      </c>
      <c r="K13" s="857">
        <f>IF(ISNUMBER((((NºAsuntos!C13+NºAsuntos!E13)/NºAsuntos!G13)-Datos!BG13)/Datos!BG13),(((NºAsuntos!C13+NºAsuntos!E13)/NºAsuntos!G13)-Datos!BG13)/Datos!BG13," - ")</f>
        <v>-7.5390047641657083E-3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0.27752736638763681</v>
      </c>
      <c r="C16" s="456">
        <f>IF(ISNUMBER(
   IF(D_I="SI",(Datos!J16-Datos!T16)/Datos!T16,(Datos!J16+Datos!AD16-(Datos!T16+Datos!AL16))/(Datos!T16+Datos!AL16))
     ),IF(D_I="SI",(Datos!J16-Datos!T16)/Datos!T16,(Datos!J16+Datos!AD16-(Datos!T16+Datos!AL16))/(Datos!T16+Datos!AL16))," - ")</f>
        <v>7.2086720867208673E-2</v>
      </c>
      <c r="D16" s="456">
        <f>IF(ISNUMBER(
   IF(D_I="SI",(Datos!K16-Datos!U16)/Datos!U16,(Datos!K16+Datos!AE16-(Datos!U16+Datos!AM16))/(Datos!U16+Datos!AM16))
     ),IF(D_I="SI",(Datos!K16-Datos!U16)/Datos!U16,(Datos!K16+Datos!AE16-(Datos!U16+Datos!AM16))/(Datos!U16+Datos!AM16))," - ")</f>
        <v>1.9455252918287938E-2</v>
      </c>
      <c r="E16" s="456">
        <f>IF(ISNUMBER(
   IF(D_I="SI",(Datos!L16-Datos!V16)/Datos!V16,(Datos!L16+Datos!AF16-(Datos!V16+Datos!AN16))/(Datos!V16+Datos!AN16))
     ),IF(D_I="SI",(Datos!L16-Datos!V16)/Datos!V16,(Datos!L16+Datos!AF16-(Datos!V16+Datos!AN16))/(Datos!V16+Datos!AN16))," - ")</f>
        <v>0.3320825515947467</v>
      </c>
      <c r="F16" s="456">
        <f>IF(ISNUMBER((Datos!M16-Datos!W16)/Datos!W16),(Datos!M16-Datos!W16)/Datos!W16," - ")</f>
        <v>-0.24154589371980675</v>
      </c>
      <c r="G16" s="457">
        <f>IF(ISNUMBER((Datos!N16-Datos!X16)/Datos!X16),(Datos!N16-Datos!X16)/Datos!X16," - ")</f>
        <v>3.0567685589519649E-2</v>
      </c>
      <c r="H16" s="455">
        <f>IF(ISNUMBER(((NºAsuntos!G16/NºAsuntos!E16)-Datos!BD16)/Datos!BD16),((NºAsuntos!G16/NºAsuntos!E16)-Datos!BD16)/Datos!BD16," - ")</f>
        <v>-4.9092547202102474E-2</v>
      </c>
      <c r="I16" s="456">
        <f>IF(ISNUMBER(((NºAsuntos!I16/NºAsuntos!G16)-Datos!BE16)/Datos!BE16),((NºAsuntos!I16/NºAsuntos!G16)-Datos!BE16)/Datos!BE16," - ")</f>
        <v>0.30666112885438895</v>
      </c>
      <c r="J16" s="461">
        <f>IF(ISNUMBER((('Resol  Asuntos'!D16/NºAsuntos!G16)-Datos!BF16)/Datos!BF16),(('Resol  Asuntos'!D16/NºAsuntos!G16)-Datos!BF16)/Datos!BF16," - ")</f>
        <v>-0.25602020872515396</v>
      </c>
      <c r="K16" s="462">
        <f>IF(ISNUMBER((((NºAsuntos!C16+NºAsuntos!E16)/NºAsuntos!G16)-Datos!BG16)/Datos!BG16),(((NºAsuntos!C16+NºAsuntos!E16)/NºAsuntos!G16)-Datos!BG16)/Datos!BG16," - ")</f>
        <v>0.14372846173546192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0.24705882352941178</v>
      </c>
      <c r="D17" s="456">
        <f>IF(ISNUMBER(
   IF(D_I="SI",(Datos!K17-Datos!U17)/Datos!U17,(Datos!K17+Datos!AE17-(Datos!U17+Datos!AM17))/(Datos!U17+Datos!AM17))
     ),IF(D_I="SI",(Datos!K17-Datos!U17)/Datos!U17,(Datos!K17+Datos!AE17-(Datos!U17+Datos!AM17))/(Datos!U17+Datos!AM17))," - ")</f>
        <v>5.0632911392405063E-2</v>
      </c>
      <c r="E17" s="456">
        <f>IF(ISNUMBER(
   IF(D_I="SI",(Datos!L17-Datos!V17)/Datos!V17,(Datos!L17+Datos!AF17-(Datos!V17+Datos!AN17))/(Datos!V17+Datos!AN17))
     ),IF(D_I="SI",(Datos!L17-Datos!V17)/Datos!V17,(Datos!L17+Datos!AF17-(Datos!V17+Datos!AN17))/(Datos!V17+Datos!AN17))," - ")</f>
        <v>0.63725490196078427</v>
      </c>
      <c r="F17" s="456">
        <f>IF(ISNUMBER((Datos!M17-Datos!W17)/Datos!W17),(Datos!M17-Datos!W17)/Datos!W17," - ")</f>
        <v>0.5</v>
      </c>
      <c r="G17" s="457">
        <f>IF(ISNUMBER((Datos!N17-Datos!X17)/Datos!X17),(Datos!N17-Datos!X17)/Datos!X17," - ")</f>
        <v>8.8888888888888892E-2</v>
      </c>
      <c r="H17" s="455">
        <f>IF(ISNUMBER(((NºAsuntos!G17/NºAsuntos!E17)-Datos!BD17)/Datos!BD17),((NºAsuntos!G17/NºAsuntos!E17)-Datos!BD17)/Datos!BD17," - ")</f>
        <v>-0.15751134463816571</v>
      </c>
      <c r="I17" s="456">
        <f>IF(ISNUMBER(((NºAsuntos!I17/NºAsuntos!G17)-Datos!BE17)/Datos!BE17),((NºAsuntos!I17/NºAsuntos!G17)-Datos!BE17)/Datos!BE17," - ")</f>
        <v>0.55835105126387918</v>
      </c>
      <c r="J17" s="461">
        <f>IF(ISNUMBER((('Resol  Asuntos'!D17/NºAsuntos!G17)-Datos!BF17)/Datos!BF17),(('Resol  Asuntos'!D17/NºAsuntos!G17)-Datos!BF17)/Datos!BF17," - ")</f>
        <v>0.42771084337349391</v>
      </c>
      <c r="K17" s="462">
        <f>IF(ISNUMBER((((NºAsuntos!C17+NºAsuntos!E17)/NºAsuntos!G17)-Datos!BG17)/Datos!BG17),(((NºAsuntos!C17+NºAsuntos!E17)/NºAsuntos!G17)-Datos!BG17)/Datos!BG17," - ")</f>
        <v>0.31465086866804226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0.29047907822922986</v>
      </c>
      <c r="C18" s="855">
        <f>IF(ISNUMBER(
   IF(Criterios!B14="SI",(Datos!J18-Datos!T18)/Datos!T18,(Datos!J18+Datos!AD18-(Datos!T18+Datos!AL18))/(Datos!T18+Datos!AL18))
     ),IF(Criterios!B14="SI",(Datos!J18-Datos!T18)/Datos!T18,(Datos!J18+Datos!AD18-(Datos!T18+Datos!AL18))/(Datos!T18+Datos!AL18))," - ")</f>
        <v>7.9792746113989635E-2</v>
      </c>
      <c r="D18" s="855">
        <f>IF(ISNUMBER(
   IF(Criterios!B14="SI",(Datos!K18-Datos!U18)/Datos!U18,(Datos!K18+Datos!AE18-(Datos!U18+Datos!AM18))/(Datos!U18+Datos!AM18))
     ),IF(Criterios!B14="SI",(Datos!K18-Datos!U18)/Datos!U18,(Datos!K18+Datos!AE18-(Datos!U18+Datos!AM18))/(Datos!U18+Datos!AM18))," - ")</f>
        <v>2.0766773162939296E-2</v>
      </c>
      <c r="E18" s="855">
        <f>IF(ISNUMBER(
   IF(Criterios!B14="SI",(Datos!L18-Datos!V18)/Datos!V18,(Datos!L18+Datos!AF18-(Datos!V18+Datos!AN18))/(Datos!V18+Datos!AN18))
     ),IF(Criterios!B14="SI",(Datos!L18-Datos!V18)/Datos!V18,(Datos!L18+Datos!AF18-(Datos!V18+Datos!AN18))/(Datos!V18+Datos!AN18))," - ")</f>
        <v>0.35038212815990594</v>
      </c>
      <c r="F18" s="856">
        <f>IF(ISNUMBER((Datos!M18-Datos!W18)/Datos!W18),(Datos!M18-Datos!W18)/Datos!W18," - ")</f>
        <v>-0.23444976076555024</v>
      </c>
      <c r="G18" s="857">
        <f>IF(ISNUMBER((Datos!N18-Datos!X18)/Datos!X18),(Datos!N18-Datos!X18)/Datos!X18," - ")</f>
        <v>3.2417195207892879E-2</v>
      </c>
      <c r="H18" s="857">
        <f>IF(ISNUMBER(((NºAsuntos!G18/NºAsuntos!E18)-Datos!BD18)/Datos!BD18),((NºAsuntos!G18/NºAsuntos!E18)-Datos!BD18)/Datos!BD18," - ")</f>
        <v>-5.4664168807834444E-2</v>
      </c>
      <c r="I18" s="857">
        <f>IF(ISNUMBER(((NºAsuntos!I18/NºAsuntos!G18)-Datos!BE18)/Datos!BE18),((NºAsuntos!I18/NºAsuntos!G18)-Datos!BE18)/Datos!BE18," - ")</f>
        <v>0.32290956530219267</v>
      </c>
      <c r="J18" s="857">
        <f>IF(ISNUMBER((('Resol  Asuntos'!D18/NºAsuntos!G18)-Datos!BF18)/Datos!BF18),(('Resol  Asuntos'!D18/NºAsuntos!G18)-Datos!BF18)/Datos!BF18," - ")</f>
        <v>-0.25002433527266732</v>
      </c>
      <c r="K18" s="857">
        <f>IF(ISNUMBER((((NºAsuntos!C18+NºAsuntos!E18)/NºAsuntos!G18)-Datos!BG18)/Datos!BG18),(((NºAsuntos!C18+NºAsuntos!E18)/NºAsuntos!G18)-Datos!BG18)/Datos!BG18," - ")</f>
        <v>0.15292256472616089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0.10233009708737864</v>
      </c>
      <c r="C19" s="802">
        <f>IF(ISNUMBER(
   IF(J_V="SI",(Datos!J19-Datos!T19)/Datos!T19,(Datos!J19+Datos!Z19-(Datos!T19+Datos!AH19))/(Datos!T19+Datos!AH19))
     ),IF(J_V="SI",(Datos!J19-Datos!T19)/Datos!T19,(Datos!J19+Datos!Z19-(Datos!T19+Datos!AH19))/(Datos!T19+Datos!AH19))," - ")</f>
        <v>0.25351731601731603</v>
      </c>
      <c r="D19" s="802">
        <f>IF(ISNUMBER(
   IF(J_V="SI",(Datos!K19-Datos!U19)/Datos!U19,(Datos!K19+Datos!AA19-(Datos!U19+Datos!AI19))/(Datos!U19+Datos!AI19))
     ),IF(J_V="SI",(Datos!K19-Datos!U19)/Datos!U19,(Datos!K19+Datos!AA19-(Datos!U19+Datos!AI19))/(Datos!U19+Datos!AI19))," - ")</f>
        <v>9.0403337969401948E-2</v>
      </c>
      <c r="E19" s="802">
        <f>IF(ISNUMBER(
   IF(J_V="SI",(Datos!L19-Datos!V19)/Datos!V19,(Datos!L19+Datos!AB19-(Datos!V19+Datos!AJ19))/(Datos!V19+Datos!AJ19))
     ),IF(J_V="SI",(Datos!L19-Datos!V19)/Datos!V19,(Datos!L19+Datos!AB19-(Datos!V19+Datos!AJ19))/(Datos!V19+Datos!AJ19))," - ")</f>
        <v>0.21729194439154448</v>
      </c>
      <c r="F19" s="803">
        <f>IF(ISNUMBER((Datos!M19-Datos!W19)/Datos!W19),(Datos!M19-Datos!W19)/Datos!W19," - ")</f>
        <v>1.3207547169811321E-2</v>
      </c>
      <c r="G19" s="804">
        <f>IF(ISNUMBER((Datos!N19-Datos!X19)/Datos!X19),(Datos!N19-Datos!X19)/Datos!X19," - ")</f>
        <v>8.7804878048780483E-2</v>
      </c>
      <c r="H19" s="805">
        <f>IF(ISNUMBER((Tasas!B19-Datos!BD19)/Datos!BD19),(Tasas!B19-Datos!BD19)/Datos!BD19," - ")</f>
        <v>-0.13012502975719628</v>
      </c>
      <c r="I19" s="806">
        <f>IF(ISNUMBER((Tasas!C19-Datos!BE19)/Datos!BE19),(Tasas!C19-Datos!BE19)/Datos!BE19," - ")</f>
        <v>0.11636850512438836</v>
      </c>
      <c r="J19" s="807">
        <f>IF(ISNUMBER((Tasas!D19-Datos!BF19)/Datos!BF19),(Tasas!D19-Datos!BF19)/Datos!BF19," - ")</f>
        <v>-0.53007794243651662</v>
      </c>
      <c r="K19" s="807">
        <f>IF(ISNUMBER((Tasas!E19-Datos!BG19)/Datos!BG19),(Tasas!E19-Datos!BG19)/Datos!BG19," - ")</f>
        <v>6.8869187964582329E-2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gd0PeenghgeMOHcfyP2LkhQfLCqdBM44EAQls8pAaroHj9Div4BHT0MvcGrABXEidMhY4aYbidg1zzdYF5EQA==" saltValue="tT/lVpxvBpuWZVdkBxFs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 BOI DE LLOBREGAT</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24</v>
      </c>
      <c r="D10" s="444">
        <f>IF(ISNUMBER('Resol  Asuntos'!D10/NºAsuntos!G10),'Resol  Asuntos'!D10/NºAsuntos!G10," - ")</f>
        <v>0</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0.78563015312131923</v>
      </c>
      <c r="C12" s="443">
        <f>IF(ISNUMBER(NºAsuntos!I12/NºAsuntos!G12),NºAsuntos!I12/NºAsuntos!G12," - ")</f>
        <v>2.0224887556221889</v>
      </c>
      <c r="D12" s="444">
        <f>IF(ISNUMBER('Resol  Asuntos'!D12/NºAsuntos!G12),'Resol  Asuntos'!D12/NºAsuntos!G12," - ")</f>
        <v>0.18840579710144928</v>
      </c>
      <c r="E12" s="445">
        <f>IF(ISNUMBER((NºAsuntos!C12+NºAsuntos!E12)/NºAsuntos!G12),(NºAsuntos!C12+NºAsuntos!E12)/NºAsuntos!G12," - ")</f>
        <v>3.0224887556221889</v>
      </c>
      <c r="G12" s="463"/>
    </row>
    <row r="13" spans="1:7" ht="14.25" thickTop="1" thickBot="1">
      <c r="A13" s="848" t="str">
        <f>Datos!A13</f>
        <v>TOTAL</v>
      </c>
      <c r="B13" s="858">
        <f>IF(ISNUMBER(NºAsuntos!G13/NºAsuntos!E13),NºAsuntos!G13/NºAsuntos!E13," - ")</f>
        <v>0.7857983522950176</v>
      </c>
      <c r="C13" s="859">
        <f>IF(ISNUMBER(NºAsuntos!I13/NºAsuntos!G13),NºAsuntos!I13/NºAsuntos!G13," - ")</f>
        <v>2.0444333499750376</v>
      </c>
      <c r="D13" s="860">
        <f>IF(ISNUMBER('Resol  Asuntos'!D13/NºAsuntos!G13),'Resol  Asuntos'!D13/NºAsuntos!G13," - ")</f>
        <v>0.18821767348976534</v>
      </c>
      <c r="E13" s="861">
        <f>IF(ISNUMBER((NºAsuntos!C13+NºAsuntos!E13)/NºAsuntos!G13),(NºAsuntos!C13+NºAsuntos!E13)/NºAsuntos!G13," - ")</f>
        <v>3.0444333499750376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0.92719919110212334</v>
      </c>
      <c r="C16" s="443">
        <f>IF(ISNUMBER(NºAsuntos!I16/NºAsuntos!G16),NºAsuntos!I16/NºAsuntos!G16," - ")</f>
        <v>1.1613958560523445</v>
      </c>
      <c r="D16" s="444">
        <f>IF(ISNUMBER('Resol  Asuntos'!D16/NºAsuntos!G16),'Resol  Asuntos'!D16/NºAsuntos!G16," - ")</f>
        <v>8.5605234460196286E-2</v>
      </c>
      <c r="E16" s="445">
        <f>IF(ISNUMBER((NºAsuntos!C16+NºAsuntos!E16)/NºAsuntos!G16),(NºAsuntos!C16+NºAsuntos!E16)/NºAsuntos!G16," - ")</f>
        <v>2.1603053435114505</v>
      </c>
      <c r="G16" s="463"/>
    </row>
    <row r="17" spans="1:7" ht="13.5" thickBot="1">
      <c r="A17" s="402" t="str">
        <f>Datos!A17</f>
        <v>Jdos. Violencia contra la mujer</v>
      </c>
      <c r="B17" s="442">
        <f>IF(ISNUMBER(NºAsuntos!G17/NºAsuntos!E17),NºAsuntos!G17/NºAsuntos!E17," - ")</f>
        <v>0.78301886792452835</v>
      </c>
      <c r="C17" s="443">
        <f>IF(ISNUMBER(NºAsuntos!I17/NºAsuntos!G17),NºAsuntos!I17/NºAsuntos!G17," - ")</f>
        <v>2.0120481927710845</v>
      </c>
      <c r="D17" s="444">
        <f>IF(ISNUMBER('Resol  Asuntos'!D17/NºAsuntos!G17),'Resol  Asuntos'!D17/NºAsuntos!G17," - ")</f>
        <v>3.614457831325301E-2</v>
      </c>
      <c r="E17" s="445">
        <f>IF(ISNUMBER((NºAsuntos!C17+NºAsuntos!E17)/NºAsuntos!G17),(NºAsuntos!C17+NºAsuntos!E17)/NºAsuntos!G17," - ")</f>
        <v>3.0120481927710845</v>
      </c>
      <c r="G17" s="463"/>
    </row>
    <row r="18" spans="1:7" ht="14.25" thickTop="1" thickBot="1">
      <c r="A18" s="848" t="str">
        <f>Datos!A18</f>
        <v>TOTAL</v>
      </c>
      <c r="B18" s="858">
        <f>IF(ISNUMBER(NºAsuntos!G18/NºAsuntos!E18),NºAsuntos!G18/NºAsuntos!E18," - ")</f>
        <v>0.91986564299424189</v>
      </c>
      <c r="C18" s="859">
        <f>IF(ISNUMBER(NºAsuntos!I18/NºAsuntos!G18),NºAsuntos!I18/NºAsuntos!G18," - ")</f>
        <v>1.198226395409494</v>
      </c>
      <c r="D18" s="862">
        <f>IF(ISNUMBER('Resol  Asuntos'!D18/NºAsuntos!G18),'Resol  Asuntos'!D18/NºAsuntos!G18," - ")</f>
        <v>8.3463745435576428E-2</v>
      </c>
      <c r="E18" s="861">
        <f>IF(ISNUMBER((NºAsuntos!C18+NºAsuntos!E18)/NºAsuntos!G18),(NºAsuntos!C18+NºAsuntos!E18)/NºAsuntos!G18," - ")</f>
        <v>2.1971830985915495</v>
      </c>
      <c r="G18" s="463"/>
    </row>
    <row r="19" spans="1:7" ht="15.75" customHeight="1" thickTop="1" thickBot="1">
      <c r="A19" s="793" t="str">
        <f>Datos!A19</f>
        <v>TOTAL JURISDICCIONES</v>
      </c>
      <c r="B19" s="808">
        <f>IF(ISNUMBER(NºAsuntos!G19/NºAsuntos!E19),NºAsuntos!G19/NºAsuntos!E19," - ")</f>
        <v>0.84610403626160158</v>
      </c>
      <c r="C19" s="809">
        <f>IF(ISNUMBER(NºAsuntos!I19/NºAsuntos!G19),NºAsuntos!I19/NºAsuntos!G19," - ")</f>
        <v>1.6306122448979592</v>
      </c>
      <c r="D19" s="810">
        <f>IF(ISNUMBER('Resol  Asuntos'!D19/NºAsuntos!G19),'Resol  Asuntos'!D19/NºAsuntos!G19," - ")</f>
        <v>0.13698979591836735</v>
      </c>
      <c r="E19" s="811">
        <f>IF(ISNUMBER((NºAsuntos!C19+NºAsuntos!E19)/NºAsuntos!G19),(NºAsuntos!C19+NºAsuntos!E19)/NºAsuntos!G19," - ")</f>
        <v>2.6301020408163267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Jy1uFT49GRHH7x3OP84XUNaVU8ZeIqS5pZGHnnj7ExOU1MVxC3bNf9SRp8NBxTQ1PcNvsfwCkTA/u4j1mFRXQ==" saltValue="05EgtV+UaCjs2xD4zL/V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 BOI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48</v>
      </c>
      <c r="G10" s="333">
        <f>IF(ISNUMBER(Datos!I10),Datos!I10," - ")</f>
        <v>48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48</v>
      </c>
      <c r="AB10" s="334">
        <f>IF(ISNUMBER(Datos!R10),Datos!R10," - ")</f>
        <v>34</v>
      </c>
      <c r="AC10" s="334">
        <f t="shared" ref="AC10:AC12" si="1">IF(ISNUMBER(AA10+AB10),AA10+AB10," - ")</f>
        <v>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72</v>
      </c>
      <c r="AN10" s="244">
        <f>IF(ISNUMBER('Resol  Asuntos'!D10/NºAsuntos!G10),'Resol  Asuntos'!D10/NºAsuntos!G10," - ")</f>
        <v>0</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367</v>
      </c>
      <c r="Y12" s="334">
        <f t="shared" si="0"/>
        <v>367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377</v>
      </c>
      <c r="AJ12" s="229" t="str">
        <f>IF(ISNUMBER(Datos!BW12),Datos!BW12," - ")</f>
        <v xml:space="preserve"> - </v>
      </c>
      <c r="AK12" s="228" t="str">
        <f>IF(ISNUMBER(Datos!BX12),Datos!BX12," - ")</f>
        <v xml:space="preserve"> - </v>
      </c>
      <c r="AL12" s="243">
        <f>IF(ISNUMBER(NºAsuntos!G12/NºAsuntos!E12),NºAsuntos!G12/NºAsuntos!E12," - ")</f>
        <v>0.78563015312131923</v>
      </c>
      <c r="AM12" s="260">
        <f>IF(ISNUMBER(((NºAsuntos!I12/NºAsuntos!G12)*11)/factor_trimestre),((NºAsuntos!I12/NºAsuntos!G12)*11)/factor_trimestre," - ")</f>
        <v>6.0674662668665675</v>
      </c>
      <c r="AN12" s="244">
        <f>IF(ISNUMBER('Resol  Asuntos'!D12/NºAsuntos!G12),'Resol  Asuntos'!D12/NºAsuntos!G12," - ")</f>
        <v>0.18840579710144928</v>
      </c>
      <c r="AO12" s="245">
        <f>IF(ISNUMBER((NºAsuntos!C12+NºAsuntos!E12)/NºAsuntos!G12),(NºAsuntos!C12+NºAsuntos!E12)/NºAsuntos!G12," - ")</f>
        <v>3.0224887556221889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48</v>
      </c>
      <c r="G13" s="866">
        <f t="shared" si="3"/>
        <v>48</v>
      </c>
      <c r="H13" s="865">
        <f t="shared" si="3"/>
        <v>0</v>
      </c>
      <c r="I13" s="867">
        <f t="shared" si="3"/>
        <v>0</v>
      </c>
      <c r="J13" s="867">
        <f t="shared" si="3"/>
        <v>0</v>
      </c>
      <c r="K13" s="867">
        <f t="shared" si="3"/>
        <v>0</v>
      </c>
      <c r="L13" s="867">
        <f t="shared" si="3"/>
        <v>291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367</v>
      </c>
      <c r="Y13" s="868">
        <f t="shared" si="4"/>
        <v>369</v>
      </c>
      <c r="Z13" s="868">
        <f t="shared" si="4"/>
        <v>0</v>
      </c>
      <c r="AA13" s="868">
        <f t="shared" si="4"/>
        <v>48</v>
      </c>
      <c r="AB13" s="868">
        <f t="shared" si="4"/>
        <v>4866</v>
      </c>
      <c r="AC13" s="868">
        <f t="shared" si="4"/>
        <v>82</v>
      </c>
      <c r="AD13" s="868">
        <f t="shared" si="4"/>
        <v>0</v>
      </c>
      <c r="AE13" s="872">
        <f t="shared" si="4"/>
        <v>0</v>
      </c>
      <c r="AF13" s="865">
        <f t="shared" si="4"/>
        <v>0</v>
      </c>
      <c r="AG13" s="873">
        <f t="shared" si="4"/>
        <v>0</v>
      </c>
      <c r="AH13" s="870">
        <f t="shared" si="4"/>
        <v>0</v>
      </c>
      <c r="AI13" s="865">
        <f t="shared" si="4"/>
        <v>377</v>
      </c>
      <c r="AJ13" s="867">
        <f t="shared" si="4"/>
        <v>0</v>
      </c>
      <c r="AK13" s="870">
        <f>SUBTOTAL(9,AK9:AK12)</f>
        <v>0</v>
      </c>
      <c r="AL13" s="874">
        <f>IF(ISNUMBER(NºAsuntos!G13/NºAsuntos!E13),NºAsuntos!G13/NºAsuntos!E13," - ")</f>
        <v>0.7857983522950176</v>
      </c>
      <c r="AM13" s="874">
        <f>IF(ISNUMBER(((NºAsuntos!I13/NºAsuntos!G13)*11)/factor_trimestre),((NºAsuntos!I13/NºAsuntos!G13)*11)/factor_trimestre," - ")</f>
        <v>6.1333000499251122</v>
      </c>
      <c r="AN13" s="875">
        <f>IF(ISNUMBER('Resol  Asuntos'!D13/NºAsuntos!G13),'Resol  Asuntos'!D13/NºAsuntos!G13," - ")</f>
        <v>0.18821767348976534</v>
      </c>
      <c r="AO13" s="876">
        <f>IF(ISNUMBER((NºAsuntos!C13+NºAsuntos!E13)/NºAsuntos!G13),(NºAsuntos!C13+NºAsuntos!E13)/NºAsuntos!G13," - ")</f>
        <v>3.0444333499750376</v>
      </c>
      <c r="AP13" s="877" t="str">
        <f t="shared" si="2"/>
        <v xml:space="preserve"> - </v>
      </c>
      <c r="AQ13" s="877">
        <f>IF(ISNUMBER((H13-W13+K13)/(F13)),(H13-W13+K13)/(F13)," - ")</f>
        <v>-4.1666666666666664E-2</v>
      </c>
      <c r="AR13" s="878">
        <f>IF(ISNUMBER((Datos!P13-Datos!Q13)/(Datos!R13-Datos!P13+Datos!Q13)),(Datos!P13-Datos!Q13)/(Datos!R13-Datos!P13+Datos!Q13)," - ")</f>
        <v>-1.537838931606637E-2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1986</v>
      </c>
      <c r="G16" s="333">
        <f>IF(ISNUMBER(IF(D_I="SI",Datos!I16,Datos!I16+Datos!AC16)),IF(D_I="SI",Datos!I16,Datos!I16+Datos!AC16)," - ")</f>
        <v>1984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1834</v>
      </c>
      <c r="X16" s="226">
        <f>IF(ISNUMBER(Datos!Q16),Datos!Q16," - ")</f>
        <v>57</v>
      </c>
      <c r="Y16" s="334">
        <f t="shared" ref="Y16:Y17" si="7">SUM(W16:X16)</f>
        <v>1891</v>
      </c>
      <c r="Z16" s="335" t="str">
        <f>IF(ISNUMBER(Datos!CC16),Datos!CC16," - ")</f>
        <v xml:space="preserve"> - </v>
      </c>
      <c r="AA16" s="332">
        <f>IF(ISNUMBER(IF(D_I="SI",Datos!L16,Datos!L16+Datos!AF16)),IF(D_I="SI",Datos!L16,Datos!L16+Datos!AF16)," - ")</f>
        <v>2130</v>
      </c>
      <c r="AB16" s="334">
        <f>IF(ISNUMBER(Datos!R16),Datos!R16," - ")</f>
        <v>466</v>
      </c>
      <c r="AC16" s="334">
        <f t="shared" si="6"/>
        <v>2596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157</v>
      </c>
      <c r="AJ16" s="231" t="str">
        <f>IF(ISNUMBER(Datos!BW16),Datos!BW16," - ")</f>
        <v xml:space="preserve"> - </v>
      </c>
      <c r="AK16" s="232" t="str">
        <f>IF(ISNUMBER(Datos!BX16),Datos!BX16," - ")</f>
        <v xml:space="preserve"> - </v>
      </c>
      <c r="AL16" s="243">
        <f>IF(ISNUMBER(NºAsuntos!G16/NºAsuntos!E16),NºAsuntos!G16/NºAsuntos!E16," - ")</f>
        <v>0.92719919110212334</v>
      </c>
      <c r="AM16" s="260">
        <f>IF(ISNUMBER(((NºAsuntos!I16/NºAsuntos!G16)*11)/factor_trimestre),((NºAsuntos!I16/NºAsuntos!G16)*11)/factor_trimestre," - ")</f>
        <v>3.4841875681570333</v>
      </c>
      <c r="AN16" s="244">
        <f>IF(ISNUMBER('Resol  Asuntos'!D16/NºAsuntos!G16),'Resol  Asuntos'!D16/NºAsuntos!G16," - ")</f>
        <v>8.5605234460196286E-2</v>
      </c>
      <c r="AO16" s="245">
        <f>IF(ISNUMBER((NºAsuntos!C16+NºAsuntos!E16)/NºAsuntos!G16),(NºAsuntos!C16+NºAsuntos!E16)/NºAsuntos!G16," - ")</f>
        <v>2.1603053435114505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83</v>
      </c>
      <c r="X17" s="226">
        <f>IF(ISNUMBER(Datos!Q17),Datos!Q17," - ")</f>
        <v>0</v>
      </c>
      <c r="Y17" s="334">
        <f t="shared" si="7"/>
        <v>83</v>
      </c>
      <c r="Z17" s="335" t="str">
        <f>IF(ISNUMBER(Datos!CC17),Datos!CC17," - ")</f>
        <v xml:space="preserve"> - </v>
      </c>
      <c r="AA17" s="332">
        <f>IF(ISNUMBER(Datos!L17),Datos!L17,"-")</f>
        <v>167</v>
      </c>
      <c r="AB17" s="334">
        <f>IF(ISNUMBER(Datos!R17),Datos!R17," - ")</f>
        <v>6</v>
      </c>
      <c r="AC17" s="334">
        <f t="shared" si="6"/>
        <v>173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0.78301886792452835</v>
      </c>
      <c r="AM17" s="260">
        <f>IF(ISNUMBER(((NºAsuntos!I17/NºAsuntos!G17)*11)/factor_trimestre),((NºAsuntos!I17/NºAsuntos!G17)*11)/factor_trimestre," - ")</f>
        <v>6.0361445783132543</v>
      </c>
      <c r="AN17" s="244">
        <f>IF(ISNUMBER('Resol  Asuntos'!D17/NºAsuntos!G17),'Resol  Asuntos'!D17/NºAsuntos!G17," - ")</f>
        <v>3.614457831325301E-2</v>
      </c>
      <c r="AO17" s="245">
        <f>IF(ISNUMBER((NºAsuntos!C17+NºAsuntos!E17)/NºAsuntos!G17),(NºAsuntos!C17+NºAsuntos!E17)/NºAsuntos!G17," - ")</f>
        <v>3.0120481927710845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1986</v>
      </c>
      <c r="G18" s="866">
        <f>SUBTOTAL(9,G15:G17)</f>
        <v>2128</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1917</v>
      </c>
      <c r="X18" s="867">
        <f t="shared" si="11"/>
        <v>57</v>
      </c>
      <c r="Y18" s="868">
        <f t="shared" si="11"/>
        <v>1974</v>
      </c>
      <c r="Z18" s="868">
        <f t="shared" si="11"/>
        <v>0</v>
      </c>
      <c r="AA18" s="868">
        <f t="shared" si="11"/>
        <v>2297</v>
      </c>
      <c r="AB18" s="868">
        <f t="shared" si="11"/>
        <v>472</v>
      </c>
      <c r="AC18" s="868">
        <f t="shared" si="11"/>
        <v>2769</v>
      </c>
      <c r="AD18" s="868">
        <f t="shared" si="11"/>
        <v>0</v>
      </c>
      <c r="AE18" s="872">
        <f t="shared" si="11"/>
        <v>0</v>
      </c>
      <c r="AF18" s="865">
        <f t="shared" si="11"/>
        <v>0</v>
      </c>
      <c r="AG18" s="873">
        <f t="shared" si="11"/>
        <v>0</v>
      </c>
      <c r="AH18" s="870">
        <f t="shared" si="11"/>
        <v>0</v>
      </c>
      <c r="AI18" s="865">
        <f t="shared" si="11"/>
        <v>160</v>
      </c>
      <c r="AJ18" s="867">
        <f t="shared" si="11"/>
        <v>0</v>
      </c>
      <c r="AK18" s="870">
        <f t="shared" si="11"/>
        <v>0</v>
      </c>
      <c r="AL18" s="874">
        <f>IF(ISNUMBER(NºAsuntos!G18/NºAsuntos!E18),NºAsuntos!G18/NºAsuntos!E18," - ")</f>
        <v>0.91986564299424189</v>
      </c>
      <c r="AM18" s="874">
        <f>IF(ISNUMBER(((NºAsuntos!I18/NºAsuntos!G18)*11)/factor_trimestre),((NºAsuntos!I18/NºAsuntos!G18)*11)/factor_trimestre," - ")</f>
        <v>3.5946791862284826</v>
      </c>
      <c r="AN18" s="875">
        <f>IF(ISNUMBER('Resol  Asuntos'!D18/NºAsuntos!G18),'Resol  Asuntos'!D18/NºAsuntos!G18," - ")</f>
        <v>8.3463745435576428E-2</v>
      </c>
      <c r="AO18" s="876">
        <f>IF(ISNUMBER((NºAsuntos!C18+NºAsuntos!E18)/NºAsuntos!G18),(NºAsuntos!C18+NºAsuntos!E18)/NºAsuntos!G18," - ")</f>
        <v>2.1971830985915495</v>
      </c>
      <c r="AP18" s="877" t="str">
        <f t="shared" si="2"/>
        <v xml:space="preserve"> - </v>
      </c>
      <c r="AQ18" s="877">
        <f>IF(ISNUMBER((H18-W18+K18)/(F18)),(H18-W18+K18)/(F18)," - ")</f>
        <v>-0.96525679758308158</v>
      </c>
      <c r="AR18" s="878">
        <f>IF(ISNUMBER((Datos!P18-Datos!Q18)/(Datos!R18-Datos!P18+Datos!Q18)),(Datos!P18-Datos!Q18)/(Datos!R18-Datos!P18+Datos!Q18)," - ")</f>
        <v>-5.6000000000000001E-2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2034</v>
      </c>
      <c r="G19" s="821">
        <f t="shared" si="13"/>
        <v>2176</v>
      </c>
      <c r="H19" s="820">
        <f t="shared" si="13"/>
        <v>0</v>
      </c>
      <c r="I19" s="822">
        <f t="shared" si="13"/>
        <v>0</v>
      </c>
      <c r="J19" s="822">
        <f t="shared" si="13"/>
        <v>0</v>
      </c>
      <c r="K19" s="881">
        <f t="shared" si="13"/>
        <v>0</v>
      </c>
      <c r="L19" s="822">
        <f t="shared" si="13"/>
        <v>320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1919</v>
      </c>
      <c r="X19" s="821">
        <f t="shared" si="14"/>
        <v>424</v>
      </c>
      <c r="Y19" s="828">
        <f t="shared" si="14"/>
        <v>2343</v>
      </c>
      <c r="Z19" s="828">
        <f t="shared" si="14"/>
        <v>0</v>
      </c>
      <c r="AA19" s="828">
        <f t="shared" si="14"/>
        <v>2345</v>
      </c>
      <c r="AB19" s="828">
        <f t="shared" si="14"/>
        <v>5338</v>
      </c>
      <c r="AC19" s="828">
        <f t="shared" si="14"/>
        <v>2851</v>
      </c>
      <c r="AD19" s="828">
        <f t="shared" si="14"/>
        <v>0</v>
      </c>
      <c r="AE19" s="830">
        <f t="shared" si="14"/>
        <v>0</v>
      </c>
      <c r="AF19" s="831">
        <f t="shared" si="14"/>
        <v>0</v>
      </c>
      <c r="AG19" s="832">
        <f t="shared" si="14"/>
        <v>0</v>
      </c>
      <c r="AH19" s="830">
        <f t="shared" si="14"/>
        <v>0</v>
      </c>
      <c r="AI19" s="820">
        <f t="shared" si="14"/>
        <v>537</v>
      </c>
      <c r="AJ19" s="820">
        <f t="shared" si="14"/>
        <v>0</v>
      </c>
      <c r="AK19" s="830">
        <f t="shared" si="14"/>
        <v>0</v>
      </c>
      <c r="AL19" s="884">
        <f>IF(ISNUMBER(NºAsuntos!G19/NºAsuntos!E19),NºAsuntos!G19/NºAsuntos!E19," - ")</f>
        <v>0.84610403626160158</v>
      </c>
      <c r="AM19" s="885">
        <f>IF(ISNUMBER(((NºAsuntos!I19/NºAsuntos!G19)*11)/factor_trimestre),((NºAsuntos!I19/NºAsuntos!G19)*11)/factor_trimestre," - ")</f>
        <v>4.8918367346938778</v>
      </c>
      <c r="AN19" s="885">
        <f>IF(ISNUMBER('Resol  Asuntos'!D19/NºAsuntos!G19),'Resol  Asuntos'!D19/NºAsuntos!G19," - ")</f>
        <v>0.13698979591836735</v>
      </c>
      <c r="AO19" s="886">
        <f>IF(ISNUMBER((NºAsuntos!C19+NºAsuntos!E19)/NºAsuntos!G19),(NºAsuntos!C19+NºAsuntos!E19)/NºAsuntos!G19," - ")</f>
        <v>2.6301020408163267</v>
      </c>
      <c r="AP19" s="887" t="str">
        <f t="shared" si="2"/>
        <v xml:space="preserve"> - </v>
      </c>
      <c r="AQ19" s="888">
        <f>IF(OR(ISNUMBER(FIND("01",Criterios!A8,1)),ISNUMBER(FIND("02",Criterios!A8,1)),ISNUMBER(FIND("03",Criterios!A8,1)),ISNUMBER(FIND("04",Criterios!A8,1))),(I19-W19+K19)/(F19-K19),(H19-W19+K19)/(F19-K19))</f>
        <v>-0.94346116027531957</v>
      </c>
      <c r="AR19" s="889">
        <f>IF(ISNUMBER((Datos!P19-Datos!Q19)/(Datos!R19-Datos!P19+Datos!Q19)),(Datos!P19-Datos!Q19)/(Datos!R19-Datos!P19+Datos!Q19)," - ")</f>
        <v>-1.9110621095185593E-2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1118.9048216894948</v>
      </c>
      <c r="G21" s="253">
        <f>IF(ISNUMBER(STDEV(G8:G18)),STDEV(G8:G18),"-")</f>
        <v>1084.2051466396938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1012.3355668946933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168.68313490091415</v>
      </c>
      <c r="AJ21" s="252">
        <f t="shared" si="18"/>
        <v>0</v>
      </c>
      <c r="AK21" s="254">
        <f t="shared" si="18"/>
        <v>0</v>
      </c>
      <c r="AL21" s="249">
        <f t="shared" si="18"/>
        <v>9.4207504241812637E-2</v>
      </c>
      <c r="AM21" s="250">
        <f t="shared" si="18"/>
        <v>27.355198443123879</v>
      </c>
      <c r="AN21" s="250">
        <f t="shared" si="18"/>
        <v>7.7590118561639693E-2</v>
      </c>
      <c r="AO21" s="251">
        <f t="shared" si="18"/>
        <v>9.1185973301141754</v>
      </c>
      <c r="AP21" s="291" t="str">
        <f t="shared" si="18"/>
        <v>-</v>
      </c>
      <c r="AQ21" s="292">
        <f t="shared" si="18"/>
        <v>0.65307684460796822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kLt7fe7ZfFtBSgTZaMm8YvRkn3eL5sch5VEEwnYKbcjmL5ah8hMzCvabc0cZLVEUjsO0AtDV3lvoE8XBGvmEA==" saltValue="rVn4wysQydpKFrOQEIpfO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 BOI DE LLOBREGAT</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0.41176470588235292</v>
      </c>
      <c r="E10" s="348">
        <f>IF(ISNUMBER((Datos!J10-Datos!T10)/Datos!T10),(Datos!J10-Datos!T10)/Datos!T10," - ")</f>
        <v>-0.83333333333333337</v>
      </c>
      <c r="F10" s="348">
        <f>IF(ISNUMBER((Datos!K10-Datos!U10)/Datos!U10),(Datos!K10-Datos!U10)/Datos!U10," - ")</f>
        <v>-0.8</v>
      </c>
      <c r="G10" s="349">
        <f>IF(ISNUMBER((Datos!L10-Datos!V10)/Datos!V10),(Datos!L10-Datos!V10)/Datos!V10," - ")</f>
        <v>0.33333333333333331</v>
      </c>
      <c r="H10" s="230">
        <f>IF(ISNUMBER((Datos!M10-Datos!W10)/Datos!W10),(Datos!M10-Datos!W10)/Datos!W10," - ")</f>
        <v>-1</v>
      </c>
      <c r="I10" s="350">
        <f>IF(ISNUMBER((Tasas!C10-Datos!BE10)/Datos!BE10),(Tasas!C10-Datos!BE10)/Datos!BE10," - ")</f>
        <v>5.6666666666666661</v>
      </c>
      <c r="J10" s="349">
        <f>IF(ISNUMBER((Tasas!D10-Datos!BF10)/Datos!BF10),(Tasas!D10-Datos!BF10)/Datos!BF10," - ")</f>
        <v>-1</v>
      </c>
      <c r="K10" s="351">
        <f>IF(ISNUMBER((Tasas!E10-Datos!BG10)/Datos!BG10),(Tasas!E10-Datos!BG10)/Datos!BG10," - ")</f>
        <v>4.4347826086956523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0.20063694267515925</v>
      </c>
      <c r="I12" s="350">
        <f>IF(ISNUMBER((Tasas!C12-Datos!BE12)/Datos!BE12),(Tasas!C12-Datos!BE12)/Datos!BE12," - ")</f>
        <v>-1.7533208353137056E-2</v>
      </c>
      <c r="J12" s="349">
        <f>IF(ISNUMBER((Tasas!D12-Datos!BF12)/Datos!BF12),(Tasas!D12-Datos!BF12)/Datos!BF12," - ")</f>
        <v>-0.61345108695652173</v>
      </c>
      <c r="K12" s="351">
        <f>IF(ISNUMBER((Tasas!E12-Datos!BG12)/Datos!BG12),(Tasas!E12-Datos!BG12)/Datos!BG12," - ")</f>
        <v>-1.1800745863421492E-2</v>
      </c>
      <c r="M12" t="e">
        <f>IF(Monitorios="SI",Datos!CE12,0)</f>
        <v>#REF!</v>
      </c>
      <c r="N12" t="e">
        <f>IF(Monitorios="SI",Datos!CF12,0)</f>
        <v>#REF!</v>
      </c>
      <c r="O12" t="e">
        <f>IF(Monitorios="SI",Datos!CG12,0)</f>
        <v>#REF!</v>
      </c>
      <c r="P12" t="e">
        <f>IF(Monitorios="SI",Datos!CH12,0)</f>
        <v>#REF!</v>
      </c>
      <c r="Q12">
        <f>IF(J_V="SI",0,Datos!AG12)</f>
        <v>111</v>
      </c>
      <c r="R12">
        <f>IF(J_V="SI",0,Datos!AH12)</f>
        <v>400</v>
      </c>
      <c r="S12">
        <f>IF(J_V="SI",0,Datos!AI12)</f>
        <v>407</v>
      </c>
      <c r="T12">
        <f>IF(J_V="SI",0,Datos!AJ12)</f>
        <v>104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0.17445482866043613</v>
      </c>
      <c r="I13" s="357">
        <f>IF(ISNUMBER((Tasas!C13-Datos!BE13)/Datos!BE13),(Tasas!C13-Datos!BE13)/Datos!BE13," - ")</f>
        <v>-1.1185334674045292E-2</v>
      </c>
      <c r="J13" s="355">
        <f>IF(ISNUMBER((Tasas!D13-Datos!BF13)/Datos!BF13),(Tasas!D13-Datos!BF13)/Datos!BF13," - ")</f>
        <v>-0.61481555973548618</v>
      </c>
      <c r="K13" s="358">
        <f>IF(ISNUMBER((Tasas!E13-Datos!BG13)/Datos!BG13),(Tasas!E13-Datos!BG13)/Datos!BG13," - ")</f>
        <v>-7.5390047641657083E-3</v>
      </c>
      <c r="M13" t="e">
        <f>IF(Monitorios="SI",Datos!CE13,0)</f>
        <v>#REF!</v>
      </c>
      <c r="N13" t="e">
        <f>IF(Monitorios="SI",Datos!CF13,0)</f>
        <v>#REF!</v>
      </c>
      <c r="O13" t="e">
        <f>IF(Monitorios="SI",Datos!CG13,0)</f>
        <v>#REF!</v>
      </c>
      <c r="P13" t="e">
        <f>IF(Monitorios="SI",Datos!CH13,0)</f>
        <v>#REF!</v>
      </c>
      <c r="Q13">
        <f>IF(J_V="SI",0,Datos!AG13)</f>
        <v>111</v>
      </c>
      <c r="R13">
        <f>IF(J_V="SI",0,Datos!AH13)</f>
        <v>400</v>
      </c>
      <c r="S13">
        <f>IF(J_V="SI",0,Datos!AI13)</f>
        <v>407</v>
      </c>
      <c r="T13">
        <f>IF(J_V="SI",0,Datos!AJ13)</f>
        <v>104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0.27752736638763681</v>
      </c>
      <c r="E16" s="348">
        <f>IF(ISNUMBER(
   IF(D_I="SI",(Datos!J16-Datos!T16)/Datos!T16,(Datos!J16+Datos!AD16-(Datos!T16+Datos!AL16))/(Datos!T16+Datos!AL16))
     ),IF(D_I="SI",(Datos!J16-Datos!T16)/Datos!T16,(Datos!J16+Datos!AD16-(Datos!T16+Datos!AL16))/(Datos!T16+Datos!AL16))," - ")</f>
        <v>7.2086720867208673E-2</v>
      </c>
      <c r="F16" s="348">
        <f>IF(ISNUMBER(
   IF(D_I="SI",(Datos!K16-Datos!U16)/Datos!U16,(Datos!K16+Datos!AE16-(Datos!U16+Datos!AM16))/(Datos!U16+Datos!AM16))
     ),IF(D_I="SI",(Datos!K16-Datos!U16)/Datos!U16,(Datos!K16+Datos!AE16-(Datos!U16+Datos!AM16))/(Datos!U16+Datos!AM16))," - ")</f>
        <v>1.9455252918287938E-2</v>
      </c>
      <c r="G16" s="349">
        <f>IF(ISNUMBER(
   IF(D_I="SI",(Datos!L16-Datos!V16)/Datos!V16,(Datos!L16+Datos!AF16-(Datos!V16+Datos!AN16))/(Datos!V16+Datos!AN16))
     ),IF(D_I="SI",(Datos!L16-Datos!V16)/Datos!V16,(Datos!L16+Datos!AF16-(Datos!V16+Datos!AN16))/(Datos!V16+Datos!AN16))," - ")</f>
        <v>0.3320825515947467</v>
      </c>
      <c r="H16" s="230">
        <f>IF(ISNUMBER((Datos!M16-Datos!W16)/Datos!W16),(Datos!M16-Datos!W16)/Datos!W16," - ")</f>
        <v>-0.24154589371980675</v>
      </c>
      <c r="I16" s="350">
        <f>IF(ISNUMBER((Tasas!C16-Datos!BE16)/Datos!BE16),(Tasas!C16-Datos!BE16)/Datos!BE16," - ")</f>
        <v>0.30666112885438895</v>
      </c>
      <c r="J16" s="349">
        <f>IF(ISNUMBER((Tasas!D16-Datos!BF16)/Datos!BF16),(Tasas!D16-Datos!BF16)/Datos!BF16," - ")</f>
        <v>-0.25602020872515396</v>
      </c>
      <c r="K16" s="351">
        <f>IF(ISNUMBER((Tasas!E16-Datos!BG16)/Datos!BG16),(Tasas!E16-Datos!BG16)/Datos!BG16," - ")</f>
        <v>0.14372846173546192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0.24705882352941178</v>
      </c>
      <c r="F17" s="348">
        <f>IF(ISNUMBER(
   IF(D_I="SI",(Datos!K17-Datos!U17)/Datos!U17,(Datos!K17+Datos!AE17-(Datos!U17+Datos!AM17))/(Datos!U17+Datos!AM17))
     ),IF(D_I="SI",(Datos!K17-Datos!U17)/Datos!U17,(Datos!K17+Datos!AE17-(Datos!U17+Datos!AM17))/(Datos!U17+Datos!AM17))," - ")</f>
        <v>5.0632911392405063E-2</v>
      </c>
      <c r="G17" s="349">
        <f>IF(ISNUMBER(
   IF(D_I="SI",(Datos!L17-Datos!V17)/Datos!V17,(Datos!L17+Datos!AF17-(Datos!V17+Datos!AN17))/(Datos!V17+Datos!AN17))
     ),IF(D_I="SI",(Datos!L17-Datos!V17)/Datos!V17,(Datos!L17+Datos!AF17-(Datos!V17+Datos!AN17))/(Datos!V17+Datos!AN17))," - ")</f>
        <v>0.63725490196078427</v>
      </c>
      <c r="H17" s="230">
        <f>IF(ISNUMBER((Datos!M17-Datos!W17)/Datos!W17),(Datos!M17-Datos!W17)/Datos!W17," - ")</f>
        <v>0.5</v>
      </c>
      <c r="I17" s="350">
        <f>IF(ISNUMBER((Tasas!C17-Datos!BE17)/Datos!BE17),(Tasas!C17-Datos!BE17)/Datos!BE17," - ")</f>
        <v>0.55835105126387918</v>
      </c>
      <c r="J17" s="349">
        <f>IF(ISNUMBER((Tasas!D17-Datos!BF17)/Datos!BF17),(Tasas!D17-Datos!BF17)/Datos!BF17," - ")</f>
        <v>0.42771084337349391</v>
      </c>
      <c r="K17" s="351">
        <f>IF(ISNUMBER((Tasas!E17-Datos!BG17)/Datos!BG17),(Tasas!E17-Datos!BG17)/Datos!BG17," - ")</f>
        <v>0.31465086866804226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0.29047907822922986</v>
      </c>
      <c r="E18" s="354">
        <f>IF(ISNUMBER(
   IF(D_I="SI",(Datos!J18-Datos!T18)/Datos!T18,(Datos!J18+Datos!AD18-(Datos!T18+Datos!AL18))/(Datos!T18+Datos!AL18))
     ),IF(D_I="SI",(Datos!J18-Datos!T18)/Datos!T18,(Datos!J18+Datos!AD18-(Datos!T18+Datos!AL18))/(Datos!T18+Datos!AL18))," - ")</f>
        <v>7.9792746113989635E-2</v>
      </c>
      <c r="F18" s="354">
        <f>IF(ISNUMBER(
   IF(D_I="SI",(Datos!K18-Datos!U18)/Datos!U18,(Datos!K18+Datos!AE18-(Datos!U18+Datos!AM18))/(Datos!U18+Datos!AM18))
     ),IF(D_I="SI",(Datos!K18-Datos!U18)/Datos!U18,(Datos!K18+Datos!AE18-(Datos!U18+Datos!AM18))/(Datos!U18+Datos!AM18))," - ")</f>
        <v>2.0766773162939296E-2</v>
      </c>
      <c r="G18" s="355">
        <f>IF(ISNUMBER(
   IF(D_I="SI",(Datos!L18-Datos!V18)/Datos!V18,(Datos!L18+Datos!AF18-(Datos!V18+Datos!AN18))/(Datos!V18+Datos!AN18))
     ),IF(D_I="SI",(Datos!L18-Datos!V18)/Datos!V18,(Datos!L18+Datos!AF18-(Datos!V18+Datos!AN18))/(Datos!V18+Datos!AN18))," - ")</f>
        <v>0.35038212815990594</v>
      </c>
      <c r="H18" s="356">
        <f>IF(ISNUMBER((Datos!M18-Datos!W18)/Datos!W18),(Datos!M18-Datos!W18)/Datos!W18," - ")</f>
        <v>-0.23444976076555024</v>
      </c>
      <c r="I18" s="357">
        <f>IF(ISNUMBER((Tasas!C18-Datos!BE18)/Datos!BE18),(Tasas!C18-Datos!BE18)/Datos!BE18," - ")</f>
        <v>0.32290956530219267</v>
      </c>
      <c r="J18" s="355">
        <f>IF(ISNUMBER((Tasas!D18-Datos!BF18)/Datos!BF18),(Tasas!D18-Datos!BF18)/Datos!BF18," - ")</f>
        <v>-0.25002433527266732</v>
      </c>
      <c r="K18" s="358">
        <f>IF(ISNUMBER((Tasas!E18-Datos!BG18)/Datos!BG18),(Tasas!E18-Datos!BG18)/Datos!BG18," - ")</f>
        <v>0.15292256472616089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0.10233009708737864</v>
      </c>
      <c r="E19" s="363">
        <f>IF(ISNUMBER(
   IF(J_V="SI",(Datos!J19-Datos!T19)/Datos!T19,(Datos!J19+Datos!Z19-(Datos!T19+Datos!AH19))/(Datos!T19+Datos!AH19))
     ),IF(J_V="SI",(Datos!J19-Datos!T19)/Datos!T19,(Datos!J19+Datos!Z19-(Datos!T19+Datos!AH19))/(Datos!T19+Datos!AH19))," - ")</f>
        <v>0.25351731601731603</v>
      </c>
      <c r="F19" s="363">
        <f>IF(ISNUMBER(
   IF(J_V="SI",(Datos!K19-Datos!U19)/Datos!U19,(Datos!K19+Datos!AA19-(Datos!U19+Datos!AI19))/(Datos!U19+Datos!AI19))
     ),IF(J_V="SI",(Datos!K19-Datos!U19)/Datos!U19,(Datos!K19+Datos!AA19-(Datos!U19+Datos!AI19))/(Datos!U19+Datos!AI19))," - ")</f>
        <v>9.0403337969401948E-2</v>
      </c>
      <c r="G19" s="364">
        <f>IF(ISNUMBER(
   IF(J_V="SI",(Datos!L19-Datos!V19)/Datos!V19,(Datos!L19+Datos!AB19-(Datos!V19+Datos!AJ19))/(Datos!V19+Datos!AJ19))
     ),IF(J_V="SI",(Datos!L19-Datos!V19)/Datos!V19,(Datos!L19+Datos!AB19-(Datos!V19+Datos!AJ19))/(Datos!V19+Datos!AJ19))," - ")</f>
        <v>0.21729194439154448</v>
      </c>
      <c r="H19" s="365">
        <f>IF(ISNUMBER((Datos!M19-Datos!W19)/Datos!W19),(Datos!M19-Datos!W19)/Datos!W19," - ")</f>
        <v>1.3207547169811321E-2</v>
      </c>
      <c r="I19" s="362">
        <f>IF(ISNUMBER((Tasas!C19-Datos!BE19)/Datos!BE19),(Tasas!C19-Datos!BE19)/Datos!BE19," - ")</f>
        <v>0.11636850512438836</v>
      </c>
      <c r="J19" s="363">
        <f>IF(ISNUMBER((Tasas!D19-Datos!BF19)/Datos!BF19),(Tasas!D19-Datos!BF19)/Datos!BF19," - ")</f>
        <v>-0.53007794243651662</v>
      </c>
      <c r="K19" s="364">
        <f>IF(ISNUMBER((Tasas!E19-Datos!BG19)/Datos!BG19),(Tasas!E19-Datos!BG19)/Datos!BG19," - ")</f>
        <v>6.8869187964582329E-2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0.10570247952136728</v>
      </c>
      <c r="E21" s="278">
        <f t="shared" si="1"/>
        <v>0.48985410109498967</v>
      </c>
      <c r="F21" s="278">
        <f t="shared" si="1"/>
        <v>0.41539209490287821</v>
      </c>
      <c r="G21" s="279">
        <f t="shared" si="1"/>
        <v>0.1495609051010022</v>
      </c>
      <c r="H21" s="285">
        <f t="shared" si="1"/>
        <v>0.52417933311176823</v>
      </c>
      <c r="I21" s="277">
        <f t="shared" si="1"/>
        <v>2.2296275289723173</v>
      </c>
      <c r="J21" s="278">
        <f t="shared" si="1"/>
        <v>0.48550618861510575</v>
      </c>
      <c r="K21" s="279">
        <f t="shared" si="1"/>
        <v>1.7663057924542502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6voOLvo1XCYj4KBARnUqvvivEwlQIm4g1IV7BcWXnMEdhMsztljtUbi8ynYGoI1vucB5km4sX9W2Nqz09Oanw==" saltValue="amkLyj03ACEDwYqvlV6rz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